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MALADIE MATERNITE AT\DOSSIER 3 ACCIDENT DU TRAVAIL\2025\"/>
    </mc:Choice>
  </mc:AlternateContent>
  <xr:revisionPtr revIDLastSave="0" documentId="13_ncr:1_{9747F706-615A-4357-9C91-A9CF24F05147}" xr6:coauthVersionLast="47" xr6:coauthVersionMax="47" xr10:uidLastSave="{00000000-0000-0000-0000-000000000000}"/>
  <bookViews>
    <workbookView xWindow="-120" yWindow="-120" windowWidth="20730" windowHeight="11040" firstSheet="1" activeTab="4" xr2:uid="{1579C653-3C76-4118-B53E-B84FA5F6E4EC}"/>
  </bookViews>
  <sheets>
    <sheet name="Maquette Vierge " sheetId="1" r:id="rId1"/>
    <sheet name="Matrice Calcul Jours d'Absence " sheetId="8" r:id="rId2"/>
    <sheet name="Enoncé 1" sheetId="5" r:id="rId3"/>
    <sheet name="Enoncé 1 Calcul Jours d'Abs " sheetId="7" r:id="rId4"/>
    <sheet name="Maquette AT 1 " sheetId="2" r:id="rId5"/>
    <sheet name="Enoncé 2 " sheetId="6" r:id="rId6"/>
    <sheet name="Enoncé 2 Calcul Jours d'Abs" sheetId="9" r:id="rId7"/>
    <sheet name="Maquette AT 2 " sheetId="3" r:id="rId8"/>
    <sheet name="Maquette AT 3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" i="10" l="1"/>
  <c r="C26" i="10"/>
  <c r="C20" i="10"/>
  <c r="C12" i="10"/>
  <c r="C14" i="10" s="1"/>
  <c r="C10" i="10"/>
  <c r="C34" i="3"/>
  <c r="C25" i="3"/>
  <c r="C19" i="3"/>
  <c r="C11" i="3"/>
  <c r="C13" i="3" s="1"/>
  <c r="C9" i="3"/>
  <c r="C24" i="9"/>
  <c r="C23" i="9"/>
  <c r="C36" i="9" s="1"/>
  <c r="C22" i="9"/>
  <c r="C32" i="9" s="1"/>
  <c r="C21" i="9"/>
  <c r="C25" i="9" s="1"/>
  <c r="C20" i="9"/>
  <c r="C27" i="9" s="1"/>
  <c r="C12" i="9"/>
  <c r="C9" i="9"/>
  <c r="C7" i="9"/>
  <c r="C25" i="8"/>
  <c r="C32" i="8" s="1"/>
  <c r="C24" i="8"/>
  <c r="C23" i="8"/>
  <c r="C33" i="8" s="1"/>
  <c r="C22" i="8"/>
  <c r="C21" i="8"/>
  <c r="C12" i="8"/>
  <c r="C7" i="8"/>
  <c r="C9" i="8" s="1"/>
  <c r="C36" i="1"/>
  <c r="C27" i="1"/>
  <c r="C21" i="1"/>
  <c r="C11" i="1"/>
  <c r="C13" i="1" s="1"/>
  <c r="C15" i="1" s="1"/>
  <c r="C25" i="2"/>
  <c r="C23" i="2"/>
  <c r="C17" i="2"/>
  <c r="C16" i="2"/>
  <c r="C24" i="7"/>
  <c r="C31" i="7" s="1"/>
  <c r="C23" i="7"/>
  <c r="C22" i="7"/>
  <c r="C21" i="7"/>
  <c r="C20" i="7"/>
  <c r="C12" i="7"/>
  <c r="C7" i="7"/>
  <c r="C10" i="9"/>
  <c r="C10" i="7"/>
  <c r="C39" i="9"/>
  <c r="C10" i="8"/>
  <c r="C40" i="8"/>
  <c r="C39" i="7"/>
  <c r="C18" i="10" l="1"/>
  <c r="C23" i="10" s="1"/>
  <c r="C17" i="10"/>
  <c r="C24" i="10"/>
  <c r="C17" i="3"/>
  <c r="C22" i="3" s="1"/>
  <c r="C23" i="3"/>
  <c r="C16" i="3"/>
  <c r="C18" i="3" s="1"/>
  <c r="C20" i="3" s="1"/>
  <c r="C11" i="9"/>
  <c r="C40" i="9"/>
  <c r="C34" i="9"/>
  <c r="C38" i="9"/>
  <c r="C31" i="9"/>
  <c r="C35" i="9"/>
  <c r="C33" i="9"/>
  <c r="C37" i="9"/>
  <c r="C27" i="7"/>
  <c r="C35" i="7" s="1"/>
  <c r="C37" i="8"/>
  <c r="C41" i="8" s="1"/>
  <c r="C28" i="8"/>
  <c r="C36" i="8" s="1"/>
  <c r="C11" i="8"/>
  <c r="C26" i="8"/>
  <c r="C38" i="8" s="1"/>
  <c r="C19" i="1"/>
  <c r="C24" i="1" s="1"/>
  <c r="C18" i="1"/>
  <c r="C20" i="1" s="1"/>
  <c r="C22" i="1" s="1"/>
  <c r="C25" i="1"/>
  <c r="C36" i="7"/>
  <c r="C40" i="7" s="1"/>
  <c r="C32" i="7"/>
  <c r="C33" i="7" s="1"/>
  <c r="C11" i="7"/>
  <c r="C25" i="7"/>
  <c r="C38" i="7" s="1"/>
  <c r="C9" i="7"/>
  <c r="C34" i="7"/>
  <c r="C26" i="9"/>
  <c r="C26" i="7"/>
  <c r="C27" i="8"/>
  <c r="C25" i="10" l="1"/>
  <c r="C27" i="10" s="1"/>
  <c r="C19" i="10"/>
  <c r="C21" i="10" s="1"/>
  <c r="C24" i="3"/>
  <c r="C26" i="3" s="1"/>
  <c r="C27" i="3" s="1"/>
  <c r="C28" i="9"/>
  <c r="C39" i="8"/>
  <c r="C35" i="8"/>
  <c r="C34" i="8"/>
  <c r="C29" i="8"/>
  <c r="C26" i="1"/>
  <c r="C28" i="1" s="1"/>
  <c r="C29" i="1" s="1"/>
  <c r="C37" i="7"/>
  <c r="C28" i="7"/>
  <c r="C28" i="10" l="1"/>
  <c r="C29" i="3"/>
  <c r="C28" i="3"/>
  <c r="C30" i="3" s="1"/>
  <c r="C31" i="3"/>
  <c r="C42" i="9"/>
  <c r="C41" i="9"/>
  <c r="C42" i="8"/>
  <c r="C43" i="8"/>
  <c r="C31" i="1"/>
  <c r="C30" i="1"/>
  <c r="C33" i="1"/>
  <c r="C42" i="7"/>
  <c r="C41" i="7"/>
  <c r="C19" i="2"/>
  <c r="C9" i="2"/>
  <c r="C11" i="2" s="1"/>
  <c r="C13" i="2" s="1"/>
  <c r="C30" i="10" l="1"/>
  <c r="C29" i="10"/>
  <c r="C31" i="10" s="1"/>
  <c r="C32" i="10"/>
  <c r="C32" i="3"/>
  <c r="C33" i="3" s="1"/>
  <c r="C32" i="1"/>
  <c r="C34" i="1"/>
  <c r="C35" i="1" s="1"/>
  <c r="C22" i="2"/>
  <c r="C34" i="2"/>
  <c r="C33" i="10" l="1"/>
  <c r="C34" i="10" s="1"/>
  <c r="C18" i="2"/>
  <c r="C20" i="2" s="1"/>
  <c r="C24" i="2"/>
  <c r="C26" i="2" s="1"/>
  <c r="C27" i="2" l="1"/>
  <c r="C31" i="2" s="1"/>
  <c r="C32" i="2" s="1"/>
  <c r="C33" i="2" s="1"/>
  <c r="C28" i="2" l="1"/>
  <c r="C29" i="2"/>
  <c r="C3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B6" authorId="0" shapeId="0" xr:uid="{3FCE4720-13D6-488F-A5CA-3C6950376E23}">
      <text>
        <r>
          <rPr>
            <sz val="9"/>
            <color indexed="81"/>
            <rFont val="Tahoma"/>
            <family val="2"/>
          </rPr>
          <t>Prendre les primes mensuelles liées à l'activité du salarié
ainsi que la prime d'ancienneté, les AN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B4" authorId="0" shapeId="0" xr:uid="{6870E86A-7B5A-465E-8736-D3BAAEC279B2}">
      <text>
        <r>
          <rPr>
            <sz val="9"/>
            <color indexed="81"/>
            <rFont val="Tahoma"/>
            <family val="2"/>
          </rPr>
          <t>Prendre les primes mensuelles liées à l'activité du salarié
ainsi que la prime d'ancienneté, les AN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B4" authorId="0" shapeId="0" xr:uid="{C900EC9E-580D-45A0-B535-F005B9262E0E}">
      <text>
        <r>
          <rPr>
            <sz val="9"/>
            <color indexed="81"/>
            <rFont val="Tahoma"/>
            <family val="2"/>
          </rPr>
          <t>Prendre les primes mensuelles liées à l'activité du salarié
ainsi que la prime d'ancienneté, les AN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B5" authorId="0" shapeId="0" xr:uid="{755C63DE-5A84-44FF-8E68-DD35EACC2DE6}">
      <text>
        <r>
          <rPr>
            <sz val="9"/>
            <color indexed="81"/>
            <rFont val="Tahoma"/>
            <family val="2"/>
          </rPr>
          <t>Prendre les primes mensuelles liées à l'activité du salarié
ainsi que la prime d'ancienneté, les AN</t>
        </r>
      </text>
    </comment>
  </commentList>
</comments>
</file>

<file path=xl/sharedStrings.xml><?xml version="1.0" encoding="utf-8"?>
<sst xmlns="http://schemas.openxmlformats.org/spreadsheetml/2006/main" count="271" uniqueCount="75">
  <si>
    <t xml:space="preserve">ACCIDENT DU TRAVAIL, ACCIDENT DE TRAJET  et  MALADIE PROFESSIONNELLE </t>
  </si>
  <si>
    <t xml:space="preserve">PMSS du mois précédant l'arrêt de travail </t>
  </si>
  <si>
    <t>PMSS</t>
  </si>
  <si>
    <t>A</t>
  </si>
  <si>
    <t xml:space="preserve">Salaire de référence :  Brut soumis à cotisations  du mois précédant l'arrêt de travail  HORS PRIMES A PERIODICITE DIFFERENTE DU MOIS </t>
  </si>
  <si>
    <t>B</t>
  </si>
  <si>
    <t xml:space="preserve">PRIME A PERIODICITE DIFFERENTE DU MOIS versée AVANT L'ARRET de TRAVAIL 
Si  Pas de Prime                                                         Taper 0
Si Prime Annuelle                                                Taper 1 
Si Prime Semestrielle                                      Taper 2 
Si prime Prime Trimestrielle                        Taper 3 
si Prime Bimestrielle                                  Taper 4  </t>
  </si>
  <si>
    <t>C</t>
  </si>
  <si>
    <t xml:space="preserve">Montant Prime </t>
  </si>
  <si>
    <t>D</t>
  </si>
  <si>
    <t xml:space="preserve">LISSAGE PRIME ( ex : 1000/12) </t>
  </si>
  <si>
    <t>E</t>
  </si>
  <si>
    <t xml:space="preserve"> A + D </t>
  </si>
  <si>
    <t xml:space="preserve">SALAIRE JOURNALIER DE REFRENCE  ( E / 30,42 ) </t>
  </si>
  <si>
    <t xml:space="preserve">SJR </t>
  </si>
  <si>
    <t xml:space="preserve">28 premiers jours </t>
  </si>
  <si>
    <t>SJR BRUT*60%</t>
  </si>
  <si>
    <t xml:space="preserve">SJR NET </t>
  </si>
  <si>
    <t>GJB 1</t>
  </si>
  <si>
    <t>0,834 % *PASS*60%</t>
  </si>
  <si>
    <t>IJSS</t>
  </si>
  <si>
    <t xml:space="preserve">A compter du 29 eme jour </t>
  </si>
  <si>
    <t xml:space="preserve">80 % *SJR BRUT </t>
  </si>
  <si>
    <t>GJB 2</t>
  </si>
  <si>
    <t>0,834 % *PASS*80%</t>
  </si>
  <si>
    <t xml:space="preserve">IJSS </t>
  </si>
  <si>
    <t xml:space="preserve">IJSS A PRENDRE EN COMPTE </t>
  </si>
  <si>
    <t>CSG déductible à 3,8%</t>
  </si>
  <si>
    <t>CSG / CRDS Non déductible à 2,9 %</t>
  </si>
  <si>
    <t xml:space="preserve">IJSS Nettes </t>
  </si>
  <si>
    <t xml:space="preserve">50 % *IJSS Brutes </t>
  </si>
  <si>
    <t xml:space="preserve">50 % * 3,8 % *IJSS Brutes </t>
  </si>
  <si>
    <t xml:space="preserve">IJSS Nettes à soumettre au PAS en cas de subrogation par l'employeur </t>
  </si>
  <si>
    <t xml:space="preserve">Nombre d'IJSS </t>
  </si>
  <si>
    <t xml:space="preserve">Saisir les zones en jaune seulement </t>
  </si>
  <si>
    <t xml:space="preserve">Date de début de l'arrêt </t>
  </si>
  <si>
    <t xml:space="preserve">Date de fin de l'arrêt </t>
  </si>
  <si>
    <t xml:space="preserve">Date de début du mois </t>
  </si>
  <si>
    <t xml:space="preserve">Date de fin du mois </t>
  </si>
  <si>
    <t xml:space="preserve">Base de calcul de l'absence </t>
  </si>
  <si>
    <t xml:space="preserve">Nombre de jours calendaires </t>
  </si>
  <si>
    <t xml:space="preserve">Nombre de jours de carence </t>
  </si>
  <si>
    <t xml:space="preserve">Nombre de Samedis </t>
  </si>
  <si>
    <t xml:space="preserve">Nombre de jours ouvrables </t>
  </si>
  <si>
    <t>Nombre de jours ouvrés</t>
  </si>
  <si>
    <t xml:space="preserve">MATRICE 3 VALORISATION ABSENCES </t>
  </si>
  <si>
    <t xml:space="preserve">Base de calcul absence </t>
  </si>
  <si>
    <t xml:space="preserve">Nombre de Samedis entre 2 dates </t>
  </si>
  <si>
    <t xml:space="preserve">Nombre de jours ouvrés  d'absence </t>
  </si>
  <si>
    <t xml:space="preserve">Nombre de jours ouvrables  d'absence </t>
  </si>
  <si>
    <t xml:space="preserve">Nombre d'heures réelles du mois </t>
  </si>
  <si>
    <t xml:space="preserve">Nombre d'heures réelles d'absence </t>
  </si>
  <si>
    <t xml:space="preserve">Retenue absence heures réelles du mois </t>
  </si>
  <si>
    <t xml:space="preserve">Nombre de jours ouvrés réels du mois </t>
  </si>
  <si>
    <t xml:space="preserve">Retenue absence jours ouvrés réels du mois </t>
  </si>
  <si>
    <t>Retenue absence 1 / 22</t>
  </si>
  <si>
    <t xml:space="preserve">Retenue absence 1/21,67 </t>
  </si>
  <si>
    <t xml:space="preserve">Nombre de jours calendaires réels du mois </t>
  </si>
  <si>
    <t xml:space="preserve">Retenue absence jours calendaires réels  du mois </t>
  </si>
  <si>
    <t xml:space="preserve">Retenue absence 1/ 30 éme </t>
  </si>
  <si>
    <t xml:space="preserve">Nombre de Samedis dans le mois </t>
  </si>
  <si>
    <t xml:space="preserve">Nombre de jours ouvrables  réels du mois </t>
  </si>
  <si>
    <t xml:space="preserve">Retenue absence jours ouvrables réels du mois </t>
  </si>
  <si>
    <t xml:space="preserve">Retenue absence 1/ 26 éme </t>
  </si>
  <si>
    <t xml:space="preserve">L'arrêt débute le lendemain du jour de l'accident </t>
  </si>
  <si>
    <t xml:space="preserve">Nombre de jours calendaires d' arrêt </t>
  </si>
  <si>
    <t xml:space="preserve">Cette matrice "gére" le nombre d'IJSS au-delà de 28 jours d'arrêt </t>
  </si>
  <si>
    <t>Pour déterminer le nombre de jours calendaires d'arrêt et donc le nombre d'IJSS utilisez la matrice "Calcul jours d'absence"</t>
  </si>
  <si>
    <t xml:space="preserve">Pas de jours de carence dans le cadre de l'Accident du Travail , de la Maladie Professionnelle ou de l'Accident de Trajet </t>
  </si>
  <si>
    <t xml:space="preserve">Cf  Feuille Enoncé 1 Calcul Jours d'Absence </t>
  </si>
  <si>
    <t>28 IJSS * 58,19+1 IJSS*76,61</t>
  </si>
  <si>
    <t>28 IJSS * 50,3+1 IJSS*66,22</t>
  </si>
  <si>
    <t xml:space="preserve">Salaire de référence de 12000 euros </t>
  </si>
  <si>
    <t>28 IJSS *235,69+1 IJSS*314,25</t>
  </si>
  <si>
    <t xml:space="preserve">Seules les cellules en jaune doivent être complétées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</si>
</sst>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indexed="81"/>
      <name val="Tahoma"/>
      <family val="2"/>
    </font>
    <font>
      <b/>
      <sz val="10"/>
      <name val="Arial"/>
      <family val="2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2" borderId="1" xfId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2" fontId="3" fillId="2" borderId="1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3" fontId="3" fillId="0" borderId="0" xfId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43" fontId="3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43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43" fontId="3" fillId="0" borderId="0" xfId="1" applyFont="1" applyAlignment="1"/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43" fontId="8" fillId="0" borderId="0" xfId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4" fontId="9" fillId="4" borderId="3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2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2" borderId="2" xfId="1" applyFont="1" applyFill="1" applyBorder="1" applyAlignment="1">
      <alignment horizontal="center" vertical="center" wrapText="1"/>
    </xf>
    <xf numFmtId="43" fontId="3" fillId="2" borderId="3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3" fontId="3" fillId="2" borderId="1" xfId="1" applyFont="1" applyFill="1" applyBorder="1" applyAlignment="1">
      <alignment vertical="center" wrapText="1"/>
    </xf>
    <xf numFmtId="43" fontId="3" fillId="0" borderId="0" xfId="1" applyFont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43" fontId="3" fillId="0" borderId="1" xfId="1" applyFont="1" applyBorder="1" applyAlignment="1">
      <alignment vertical="center" wrapText="1"/>
    </xf>
    <xf numFmtId="43" fontId="3" fillId="0" borderId="1" xfId="1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 xr:uid="{24002065-C2FA-469C-B877-CBDE2E679B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44</xdr:row>
      <xdr:rowOff>0</xdr:rowOff>
    </xdr:from>
    <xdr:to>
      <xdr:col>10</xdr:col>
      <xdr:colOff>546735</xdr:colOff>
      <xdr:row>69</xdr:row>
      <xdr:rowOff>139065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F951BDA-CA77-4238-A262-0B49114D3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18583275"/>
          <a:ext cx="9490710" cy="49015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12</xdr:col>
      <xdr:colOff>39275</xdr:colOff>
      <xdr:row>16</xdr:row>
      <xdr:rowOff>67083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0FF2766-433A-7EB5-1E43-A66081B744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8421275" cy="292458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11</xdr:col>
      <xdr:colOff>458327</xdr:colOff>
      <xdr:row>28</xdr:row>
      <xdr:rowOff>47924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DF84D42-7D77-D347-D9D6-68EFE7FE3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3238500"/>
          <a:ext cx="8078327" cy="21434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43</xdr:row>
      <xdr:rowOff>0</xdr:rowOff>
    </xdr:from>
    <xdr:to>
      <xdr:col>10</xdr:col>
      <xdr:colOff>546735</xdr:colOff>
      <xdr:row>68</xdr:row>
      <xdr:rowOff>139065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5906188-6737-4860-B9F9-7740F72A48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27432000"/>
          <a:ext cx="9490710" cy="49015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239222</xdr:colOff>
      <xdr:row>24</xdr:row>
      <xdr:rowOff>19664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928934-4819-ED17-C830-6B139A2734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859222" cy="440116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11</xdr:col>
      <xdr:colOff>629801</xdr:colOff>
      <xdr:row>36</xdr:row>
      <xdr:rowOff>66977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60D69D6-0FF5-D334-7691-D80E0E107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762500"/>
          <a:ext cx="8249801" cy="21624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43</xdr:row>
      <xdr:rowOff>0</xdr:rowOff>
    </xdr:from>
    <xdr:to>
      <xdr:col>10</xdr:col>
      <xdr:colOff>546735</xdr:colOff>
      <xdr:row>68</xdr:row>
      <xdr:rowOff>139065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784B2C-B136-4E6B-A851-A6BF486D5D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20326350"/>
          <a:ext cx="9490710" cy="4901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3CBC4-A09C-41E3-8103-063782362B3E}">
  <dimension ref="A1:K36"/>
  <sheetViews>
    <sheetView workbookViewId="0">
      <selection activeCell="A3" sqref="A3:C3"/>
    </sheetView>
  </sheetViews>
  <sheetFormatPr baseColWidth="10" defaultColWidth="11.42578125" defaultRowHeight="15" x14ac:dyDescent="0.25"/>
  <cols>
    <col min="1" max="1" width="14.28515625" style="1" customWidth="1"/>
    <col min="2" max="2" width="54.28515625" style="1" customWidth="1"/>
    <col min="3" max="3" width="21.85546875" style="22" customWidth="1"/>
    <col min="4" max="4" width="16.28515625" style="1" customWidth="1"/>
    <col min="5" max="5" width="18.28515625" style="1" customWidth="1"/>
    <col min="6" max="6" width="15.5703125" style="1" customWidth="1"/>
    <col min="7" max="7" width="11.42578125" style="1"/>
    <col min="8" max="8" width="15.7109375" style="1" customWidth="1"/>
    <col min="9" max="10" width="23.28515625" style="1" customWidth="1"/>
    <col min="11" max="16384" width="11.42578125" style="1"/>
  </cols>
  <sheetData>
    <row r="1" spans="1:11" x14ac:dyDescent="0.25">
      <c r="A1" s="45" t="s">
        <v>66</v>
      </c>
      <c r="B1" s="45"/>
      <c r="C1" s="45"/>
    </row>
    <row r="2" spans="1:11" x14ac:dyDescent="0.25">
      <c r="A2" s="56" t="s">
        <v>74</v>
      </c>
      <c r="B2" s="56"/>
      <c r="C2" s="56"/>
    </row>
    <row r="3" spans="1:11" x14ac:dyDescent="0.25">
      <c r="A3" s="45" t="s">
        <v>0</v>
      </c>
      <c r="B3" s="45"/>
      <c r="C3" s="45"/>
    </row>
    <row r="4" spans="1:11" ht="41.25" customHeight="1" x14ac:dyDescent="0.25">
      <c r="A4" s="2" t="s">
        <v>1</v>
      </c>
      <c r="B4" s="3" t="s">
        <v>2</v>
      </c>
      <c r="C4" s="4"/>
      <c r="E4" s="5"/>
      <c r="F4" s="5"/>
      <c r="G4" s="5"/>
      <c r="J4" s="5"/>
      <c r="K4" s="5"/>
    </row>
    <row r="5" spans="1:11" ht="51" customHeight="1" x14ac:dyDescent="0.25">
      <c r="B5" s="3" t="s">
        <v>65</v>
      </c>
      <c r="C5" s="6"/>
      <c r="D5" s="57" t="s">
        <v>67</v>
      </c>
      <c r="E5" s="58"/>
      <c r="F5" s="58"/>
      <c r="G5" s="5"/>
      <c r="J5" s="5"/>
      <c r="K5" s="5"/>
    </row>
    <row r="6" spans="1:11" x14ac:dyDescent="0.25">
      <c r="A6" s="46" t="s">
        <v>3</v>
      </c>
      <c r="B6" s="48" t="s">
        <v>4</v>
      </c>
      <c r="C6" s="49"/>
    </row>
    <row r="7" spans="1:11" ht="43.5" customHeight="1" x14ac:dyDescent="0.25">
      <c r="A7" s="47"/>
      <c r="B7" s="48"/>
      <c r="C7" s="50"/>
    </row>
    <row r="8" spans="1:11" x14ac:dyDescent="0.25">
      <c r="A8" s="51" t="s">
        <v>5</v>
      </c>
      <c r="B8" s="52" t="s">
        <v>6</v>
      </c>
      <c r="C8" s="54"/>
    </row>
    <row r="9" spans="1:11" ht="90.75" customHeight="1" x14ac:dyDescent="0.25">
      <c r="A9" s="51"/>
      <c r="B9" s="53"/>
      <c r="C9" s="54"/>
    </row>
    <row r="10" spans="1:11" ht="29.25" customHeight="1" x14ac:dyDescent="0.25">
      <c r="A10" s="7" t="s">
        <v>7</v>
      </c>
      <c r="B10" s="8" t="s">
        <v>8</v>
      </c>
      <c r="C10" s="4"/>
    </row>
    <row r="11" spans="1:11" x14ac:dyDescent="0.25">
      <c r="A11" s="59" t="s">
        <v>9</v>
      </c>
      <c r="B11" s="46" t="s">
        <v>10</v>
      </c>
      <c r="C11" s="64">
        <f>IF(C8=0,0,IF(C8=1,C10/12,IF(C8=2,C10/6,IF(C8=3,C10/3,IF(C8=4,C10/2)))))</f>
        <v>0</v>
      </c>
    </row>
    <row r="12" spans="1:11" x14ac:dyDescent="0.25">
      <c r="A12" s="60"/>
      <c r="B12" s="47"/>
      <c r="C12" s="64"/>
    </row>
    <row r="13" spans="1:11" x14ac:dyDescent="0.25">
      <c r="A13" s="59" t="s">
        <v>11</v>
      </c>
      <c r="B13" s="46" t="s">
        <v>12</v>
      </c>
      <c r="C13" s="63">
        <f>C6+C11</f>
        <v>0</v>
      </c>
    </row>
    <row r="14" spans="1:11" x14ac:dyDescent="0.25">
      <c r="A14" s="60"/>
      <c r="B14" s="47"/>
      <c r="C14" s="63"/>
    </row>
    <row r="15" spans="1:11" x14ac:dyDescent="0.25">
      <c r="A15" s="59" t="s">
        <v>9</v>
      </c>
      <c r="B15" s="61" t="s">
        <v>13</v>
      </c>
      <c r="C15" s="63">
        <f>C13/30.42</f>
        <v>0</v>
      </c>
      <c r="D15" s="48" t="s">
        <v>14</v>
      </c>
    </row>
    <row r="16" spans="1:11" x14ac:dyDescent="0.25">
      <c r="A16" s="60"/>
      <c r="B16" s="62"/>
      <c r="C16" s="63"/>
      <c r="D16" s="48"/>
    </row>
    <row r="17" spans="2:8" ht="25.5" customHeight="1" x14ac:dyDescent="0.25">
      <c r="B17" s="9" t="s">
        <v>15</v>
      </c>
      <c r="C17" s="10"/>
      <c r="F17" s="58"/>
      <c r="G17" s="58"/>
      <c r="H17" s="55"/>
    </row>
    <row r="18" spans="2:8" ht="25.5" customHeight="1" x14ac:dyDescent="0.25">
      <c r="B18" s="7" t="s">
        <v>16</v>
      </c>
      <c r="C18" s="12">
        <f>ROUND(60%*C15,2)</f>
        <v>0</v>
      </c>
      <c r="F18" s="58"/>
      <c r="G18" s="58"/>
      <c r="H18" s="55"/>
    </row>
    <row r="19" spans="2:8" ht="25.5" customHeight="1" x14ac:dyDescent="0.25">
      <c r="B19" s="7" t="s">
        <v>17</v>
      </c>
      <c r="C19" s="12">
        <f>ROUND(C15*0.79,2)</f>
        <v>0</v>
      </c>
      <c r="F19" s="58"/>
      <c r="G19" s="58"/>
      <c r="H19" s="55"/>
    </row>
    <row r="20" spans="2:8" ht="25.5" customHeight="1" x14ac:dyDescent="0.25">
      <c r="B20" s="7" t="s">
        <v>18</v>
      </c>
      <c r="C20" s="12">
        <f>MIN(C18,C19)</f>
        <v>0</v>
      </c>
      <c r="F20" s="58"/>
      <c r="G20" s="58"/>
      <c r="H20" s="55"/>
    </row>
    <row r="21" spans="2:8" ht="25.5" customHeight="1" x14ac:dyDescent="0.25">
      <c r="B21" s="7" t="s">
        <v>19</v>
      </c>
      <c r="C21" s="12">
        <f>0.834%*C4*12*60 %</f>
        <v>0</v>
      </c>
      <c r="F21" s="5"/>
      <c r="G21" s="5"/>
      <c r="H21" s="11"/>
    </row>
    <row r="22" spans="2:8" ht="25.5" customHeight="1" x14ac:dyDescent="0.25">
      <c r="B22" s="7" t="s">
        <v>20</v>
      </c>
      <c r="C22" s="13">
        <f>MIN(C20,C21)</f>
        <v>0</v>
      </c>
      <c r="F22" s="5"/>
      <c r="G22" s="5"/>
      <c r="H22" s="11"/>
    </row>
    <row r="23" spans="2:8" ht="25.5" customHeight="1" x14ac:dyDescent="0.25">
      <c r="B23" s="42" t="s">
        <v>21</v>
      </c>
      <c r="C23" s="12"/>
      <c r="F23" s="5"/>
      <c r="G23" s="5"/>
      <c r="H23" s="11"/>
    </row>
    <row r="24" spans="2:8" ht="25.5" customHeight="1" x14ac:dyDescent="0.25">
      <c r="B24" s="7" t="s">
        <v>17</v>
      </c>
      <c r="C24" s="12">
        <f>C19</f>
        <v>0</v>
      </c>
      <c r="F24" s="5"/>
      <c r="G24" s="5"/>
      <c r="H24" s="11"/>
    </row>
    <row r="25" spans="2:8" ht="25.5" customHeight="1" x14ac:dyDescent="0.25">
      <c r="B25" s="7" t="s">
        <v>22</v>
      </c>
      <c r="C25" s="12">
        <f>ROUND(80%*C15,2)</f>
        <v>0</v>
      </c>
      <c r="F25" s="5"/>
      <c r="G25" s="5"/>
      <c r="H25" s="11"/>
    </row>
    <row r="26" spans="2:8" ht="25.5" customHeight="1" x14ac:dyDescent="0.25">
      <c r="B26" s="7" t="s">
        <v>23</v>
      </c>
      <c r="C26" s="12">
        <f>MIN(C24,C25)</f>
        <v>0</v>
      </c>
      <c r="F26" s="5"/>
      <c r="G26" s="5"/>
      <c r="H26" s="11"/>
    </row>
    <row r="27" spans="2:8" ht="25.5" customHeight="1" x14ac:dyDescent="0.25">
      <c r="B27" s="7" t="s">
        <v>24</v>
      </c>
      <c r="C27" s="12">
        <f>ROUND(0.834%*C4*12*80 %,2)</f>
        <v>0</v>
      </c>
      <c r="F27" s="5"/>
      <c r="G27" s="5"/>
      <c r="H27" s="11"/>
    </row>
    <row r="28" spans="2:8" ht="25.5" customHeight="1" x14ac:dyDescent="0.25">
      <c r="B28" s="7" t="s">
        <v>25</v>
      </c>
      <c r="C28" s="13">
        <f>MIN(C26,C27)</f>
        <v>0</v>
      </c>
      <c r="F28" s="5"/>
      <c r="G28" s="5"/>
      <c r="H28" s="11"/>
    </row>
    <row r="29" spans="2:8" ht="25.5" customHeight="1" x14ac:dyDescent="0.25">
      <c r="B29" s="14" t="s">
        <v>26</v>
      </c>
      <c r="C29" s="15">
        <f>IF(C5&lt;=28,C5*C22,28*C22+(C5-28)*C28)</f>
        <v>0</v>
      </c>
      <c r="F29" s="43"/>
      <c r="G29" s="5"/>
      <c r="H29" s="11"/>
    </row>
    <row r="30" spans="2:8" ht="28.5" customHeight="1" x14ac:dyDescent="0.25">
      <c r="B30" s="16" t="s">
        <v>27</v>
      </c>
      <c r="C30" s="17">
        <f>C29*3.8%</f>
        <v>0</v>
      </c>
    </row>
    <row r="31" spans="2:8" ht="28.5" customHeight="1" x14ac:dyDescent="0.25">
      <c r="B31" s="16" t="s">
        <v>28</v>
      </c>
      <c r="C31" s="17">
        <f>C29*2.9%</f>
        <v>0</v>
      </c>
    </row>
    <row r="32" spans="2:8" ht="28.5" customHeight="1" x14ac:dyDescent="0.25">
      <c r="B32" s="18" t="s">
        <v>29</v>
      </c>
      <c r="C32" s="19">
        <f>C29-C30-C31</f>
        <v>0</v>
      </c>
    </row>
    <row r="33" spans="2:3" ht="28.5" customHeight="1" x14ac:dyDescent="0.25">
      <c r="B33" s="16" t="s">
        <v>30</v>
      </c>
      <c r="C33" s="17">
        <f>50% * C29</f>
        <v>0</v>
      </c>
    </row>
    <row r="34" spans="2:3" ht="28.5" customHeight="1" x14ac:dyDescent="0.25">
      <c r="B34" s="16" t="s">
        <v>31</v>
      </c>
      <c r="C34" s="17">
        <f>C33*3.8%</f>
        <v>0</v>
      </c>
    </row>
    <row r="35" spans="2:3" ht="28.5" x14ac:dyDescent="0.25">
      <c r="B35" s="20" t="s">
        <v>32</v>
      </c>
      <c r="C35" s="19">
        <f>+C33-C34</f>
        <v>0</v>
      </c>
    </row>
    <row r="36" spans="2:3" ht="29.25" customHeight="1" x14ac:dyDescent="0.25">
      <c r="B36" s="3" t="s">
        <v>33</v>
      </c>
      <c r="C36" s="21">
        <f>C5</f>
        <v>0</v>
      </c>
    </row>
  </sheetData>
  <mergeCells count="23">
    <mergeCell ref="H17:H20"/>
    <mergeCell ref="A1:C1"/>
    <mergeCell ref="A2:C2"/>
    <mergeCell ref="D5:F5"/>
    <mergeCell ref="A15:A16"/>
    <mergeCell ref="B15:B16"/>
    <mergeCell ref="C15:C16"/>
    <mergeCell ref="D15:D16"/>
    <mergeCell ref="F17:F20"/>
    <mergeCell ref="G17:G20"/>
    <mergeCell ref="A11:A12"/>
    <mergeCell ref="B11:B12"/>
    <mergeCell ref="C11:C12"/>
    <mergeCell ref="A13:A14"/>
    <mergeCell ref="B13:B14"/>
    <mergeCell ref="C13:C14"/>
    <mergeCell ref="A3:C3"/>
    <mergeCell ref="A6:A7"/>
    <mergeCell ref="B6:B7"/>
    <mergeCell ref="C6:C7"/>
    <mergeCell ref="A8:A9"/>
    <mergeCell ref="B8:B9"/>
    <mergeCell ref="C8:C9"/>
  </mergeCells>
  <conditionalFormatting sqref="A4:G4 C6:G6 A5:D5 G5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{E1CA816D-233B-463E-9E1C-5C09B70F88AA}</x14:id>
        </ext>
      </extLst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CA816D-233B-463E-9E1C-5C09B70F88A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A4:G4 C6:G6 A5:D5 G5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B614B-0EDF-4539-A04A-800B33F9D536}">
  <dimension ref="A1:G43"/>
  <sheetViews>
    <sheetView workbookViewId="0">
      <selection activeCell="A18" sqref="A18:XFD18"/>
    </sheetView>
  </sheetViews>
  <sheetFormatPr baseColWidth="10" defaultRowHeight="15" x14ac:dyDescent="0.25"/>
  <cols>
    <col min="1" max="1" width="7" style="23" customWidth="1"/>
    <col min="2" max="2" width="23.28515625" customWidth="1"/>
    <col min="3" max="4" width="14.85546875" customWidth="1"/>
    <col min="5" max="5" width="15.7109375" customWidth="1"/>
    <col min="6" max="6" width="14.85546875" customWidth="1"/>
    <col min="7" max="7" width="16.28515625" customWidth="1"/>
  </cols>
  <sheetData>
    <row r="1" spans="2:7" ht="26.45" customHeight="1" x14ac:dyDescent="0.25">
      <c r="B1" s="65" t="s">
        <v>34</v>
      </c>
      <c r="C1" s="66"/>
      <c r="D1" s="23"/>
      <c r="F1" s="23"/>
      <c r="G1" s="23"/>
    </row>
    <row r="2" spans="2:7" ht="41.25" customHeight="1" x14ac:dyDescent="0.25">
      <c r="B2" s="24" t="s">
        <v>35</v>
      </c>
      <c r="C2" s="25"/>
      <c r="D2" s="67" t="s">
        <v>64</v>
      </c>
      <c r="E2" s="67"/>
      <c r="F2" s="67"/>
      <c r="G2" s="67"/>
    </row>
    <row r="3" spans="2:7" ht="41.25" customHeight="1" x14ac:dyDescent="0.25">
      <c r="B3" s="24" t="s">
        <v>36</v>
      </c>
      <c r="C3" s="25"/>
      <c r="D3" s="26"/>
      <c r="E3" s="26"/>
      <c r="F3" s="26"/>
      <c r="G3" s="26"/>
    </row>
    <row r="4" spans="2:7" ht="41.25" customHeight="1" x14ac:dyDescent="0.25">
      <c r="B4" s="27" t="s">
        <v>37</v>
      </c>
      <c r="C4" s="25"/>
      <c r="D4" s="26"/>
      <c r="E4" s="26"/>
      <c r="F4" s="26"/>
      <c r="G4" s="23"/>
    </row>
    <row r="5" spans="2:7" ht="41.25" customHeight="1" x14ac:dyDescent="0.25">
      <c r="B5" s="27" t="s">
        <v>38</v>
      </c>
      <c r="C5" s="25"/>
      <c r="D5" s="26"/>
      <c r="E5" s="26"/>
      <c r="F5" s="26"/>
      <c r="G5" s="23"/>
    </row>
    <row r="6" spans="2:7" ht="41.25" customHeight="1" x14ac:dyDescent="0.25">
      <c r="B6" s="27" t="s">
        <v>39</v>
      </c>
      <c r="C6" s="28"/>
      <c r="D6" s="26"/>
      <c r="E6" s="26"/>
      <c r="F6" s="26"/>
      <c r="G6" s="23"/>
    </row>
    <row r="7" spans="2:7" ht="39.75" customHeight="1" x14ac:dyDescent="0.25">
      <c r="B7" s="24" t="s">
        <v>40</v>
      </c>
      <c r="C7" s="27">
        <f>C3-C2+1</f>
        <v>1</v>
      </c>
      <c r="D7" s="23"/>
      <c r="E7" s="23"/>
      <c r="F7" s="23"/>
      <c r="G7" s="23"/>
    </row>
    <row r="8" spans="2:7" ht="39.75" customHeight="1" x14ac:dyDescent="0.25">
      <c r="B8" s="24" t="s">
        <v>41</v>
      </c>
      <c r="C8" s="27">
        <v>3</v>
      </c>
      <c r="D8" s="23"/>
      <c r="E8" s="23"/>
      <c r="F8" s="23"/>
      <c r="G8" s="23"/>
    </row>
    <row r="9" spans="2:7" ht="39.75" customHeight="1" x14ac:dyDescent="0.25">
      <c r="B9" s="24" t="s">
        <v>33</v>
      </c>
      <c r="C9" s="27">
        <f>C7-C8</f>
        <v>-2</v>
      </c>
      <c r="D9" s="68"/>
      <c r="E9" s="69"/>
      <c r="F9" s="69"/>
      <c r="G9" s="23"/>
    </row>
    <row r="10" spans="2:7" ht="39.75" customHeight="1" x14ac:dyDescent="0.25">
      <c r="B10" s="24" t="s">
        <v>42</v>
      </c>
      <c r="C10" s="27" t="e">
        <f ca="1">SUMPRODUCT((WEEKDAY(ROW(INDIRECT(C$2&amp;":"&amp;C$3)))=7)*1)</f>
        <v>#REF!</v>
      </c>
      <c r="D10" s="23"/>
      <c r="E10" s="23"/>
      <c r="F10" s="23"/>
      <c r="G10" s="23"/>
    </row>
    <row r="11" spans="2:7" ht="39.75" customHeight="1" x14ac:dyDescent="0.25">
      <c r="B11" s="24" t="s">
        <v>43</v>
      </c>
      <c r="C11" s="27" t="e">
        <f ca="1">C7-C10</f>
        <v>#REF!</v>
      </c>
      <c r="D11" s="23"/>
      <c r="E11" s="23"/>
      <c r="F11" s="23"/>
      <c r="G11" s="23"/>
    </row>
    <row r="12" spans="2:7" ht="39.75" customHeight="1" x14ac:dyDescent="0.25">
      <c r="B12" s="24" t="s">
        <v>44</v>
      </c>
      <c r="C12" s="27">
        <f>NETWORKDAYS(C2,C3)</f>
        <v>0</v>
      </c>
      <c r="D12" s="23"/>
      <c r="E12" s="23"/>
      <c r="F12" s="23"/>
      <c r="G12" s="23"/>
    </row>
    <row r="13" spans="2:7" ht="45.75" customHeight="1" x14ac:dyDescent="0.25">
      <c r="F13" s="29"/>
      <c r="G13" s="29"/>
    </row>
    <row r="14" spans="2:7" ht="45.75" customHeight="1" x14ac:dyDescent="0.25">
      <c r="F14" s="29"/>
      <c r="G14" s="29"/>
    </row>
    <row r="15" spans="2:7" ht="45.75" customHeight="1" x14ac:dyDescent="0.25">
      <c r="F15" s="29"/>
      <c r="G15" s="29"/>
    </row>
    <row r="16" spans="2:7" ht="45.75" customHeight="1" x14ac:dyDescent="0.25">
      <c r="F16" s="29"/>
      <c r="G16" s="29"/>
    </row>
    <row r="17" spans="2:7" ht="45.75" customHeight="1" x14ac:dyDescent="0.25">
      <c r="F17" s="29"/>
      <c r="G17" s="29"/>
    </row>
    <row r="18" spans="2:7" ht="45.75" customHeight="1" x14ac:dyDescent="0.25">
      <c r="F18" s="29"/>
      <c r="G18" s="29"/>
    </row>
    <row r="19" spans="2:7" ht="45.75" customHeight="1" x14ac:dyDescent="0.25">
      <c r="F19" s="29"/>
      <c r="G19" s="29"/>
    </row>
    <row r="20" spans="2:7" ht="33.75" customHeight="1" x14ac:dyDescent="0.25">
      <c r="B20" s="70" t="s">
        <v>45</v>
      </c>
      <c r="C20" s="71"/>
      <c r="D20" s="71"/>
      <c r="E20" s="71"/>
      <c r="F20" s="71"/>
      <c r="G20" s="72"/>
    </row>
    <row r="21" spans="2:7" ht="33" customHeight="1" x14ac:dyDescent="0.25">
      <c r="B21" s="30" t="s">
        <v>35</v>
      </c>
      <c r="C21" s="31">
        <f>C2</f>
        <v>0</v>
      </c>
      <c r="D21" s="32"/>
      <c r="E21" s="32"/>
      <c r="F21" s="32"/>
      <c r="G21" s="33"/>
    </row>
    <row r="22" spans="2:7" ht="33" customHeight="1" x14ac:dyDescent="0.25">
      <c r="B22" s="34" t="s">
        <v>36</v>
      </c>
      <c r="C22" s="35">
        <f>C3</f>
        <v>0</v>
      </c>
      <c r="D22" s="32"/>
      <c r="E22" s="32"/>
      <c r="F22" s="32"/>
      <c r="G22" s="36"/>
    </row>
    <row r="23" spans="2:7" ht="33" customHeight="1" x14ac:dyDescent="0.25">
      <c r="B23" s="34" t="s">
        <v>37</v>
      </c>
      <c r="C23" s="35">
        <f>C4</f>
        <v>0</v>
      </c>
      <c r="D23" s="26"/>
      <c r="E23" s="26"/>
      <c r="F23" s="26"/>
      <c r="G23" s="23"/>
    </row>
    <row r="24" spans="2:7" ht="33" customHeight="1" x14ac:dyDescent="0.25">
      <c r="B24" s="34" t="s">
        <v>38</v>
      </c>
      <c r="C24" s="35">
        <f>C5</f>
        <v>0</v>
      </c>
      <c r="D24" s="26"/>
      <c r="E24" s="26"/>
      <c r="F24" s="26"/>
      <c r="G24" s="23"/>
    </row>
    <row r="25" spans="2:7" ht="33" customHeight="1" x14ac:dyDescent="0.25">
      <c r="B25" s="34" t="s">
        <v>46</v>
      </c>
      <c r="C25" s="37">
        <f>C6</f>
        <v>0</v>
      </c>
      <c r="D25" s="23"/>
      <c r="E25" s="23"/>
      <c r="F25" s="23"/>
      <c r="G25" s="23"/>
    </row>
    <row r="26" spans="2:7" ht="33.75" customHeight="1" x14ac:dyDescent="0.25">
      <c r="B26" s="38" t="s">
        <v>40</v>
      </c>
      <c r="C26" s="38">
        <f>C22-C21+1</f>
        <v>1</v>
      </c>
      <c r="D26" s="23"/>
      <c r="E26" s="23"/>
      <c r="F26" s="23"/>
      <c r="G26" s="23"/>
    </row>
    <row r="27" spans="2:7" ht="33.75" customHeight="1" x14ac:dyDescent="0.25">
      <c r="B27" s="39" t="s">
        <v>47</v>
      </c>
      <c r="C27" s="39" t="e">
        <f ca="1">SUMPRODUCT((WEEKDAY(ROW(INDIRECT(C$21&amp;":"&amp;C$22)))=7)*1)</f>
        <v>#REF!</v>
      </c>
      <c r="D27" s="23"/>
      <c r="E27" s="23"/>
      <c r="F27" s="23"/>
      <c r="G27" s="23"/>
    </row>
    <row r="28" spans="2:7" ht="33.75" customHeight="1" x14ac:dyDescent="0.25">
      <c r="B28" s="38" t="s">
        <v>48</v>
      </c>
      <c r="C28" s="38">
        <f>NETWORKDAYS(C21,C22)</f>
        <v>0</v>
      </c>
      <c r="D28" s="23"/>
      <c r="E28" s="23"/>
      <c r="F28" s="23"/>
      <c r="G28" s="23"/>
    </row>
    <row r="29" spans="2:7" ht="33.75" customHeight="1" x14ac:dyDescent="0.25">
      <c r="B29" s="38" t="s">
        <v>49</v>
      </c>
      <c r="C29" s="38" t="e">
        <f ca="1">C26-C27</f>
        <v>#REF!</v>
      </c>
      <c r="D29" s="23"/>
      <c r="E29" s="23"/>
      <c r="F29" s="23"/>
      <c r="G29" s="23"/>
    </row>
    <row r="30" spans="2:7" ht="33.75" customHeight="1" x14ac:dyDescent="0.25">
      <c r="B30" s="40" t="s">
        <v>50</v>
      </c>
      <c r="C30" s="40"/>
      <c r="D30" s="33"/>
      <c r="E30" s="33"/>
      <c r="F30" s="33"/>
      <c r="G30" s="33"/>
    </row>
    <row r="31" spans="2:7" ht="33.75" customHeight="1" x14ac:dyDescent="0.25">
      <c r="B31" s="40" t="s">
        <v>51</v>
      </c>
      <c r="C31" s="40"/>
      <c r="D31" s="33"/>
      <c r="E31" s="33"/>
      <c r="F31" s="33"/>
      <c r="G31" s="33"/>
    </row>
    <row r="32" spans="2:7" ht="33.75" customHeight="1" x14ac:dyDescent="0.25">
      <c r="B32" s="41" t="s">
        <v>52</v>
      </c>
      <c r="C32" s="38" t="e">
        <f>-C31*C25/C30</f>
        <v>#DIV/0!</v>
      </c>
      <c r="D32" s="23"/>
      <c r="E32" s="23"/>
      <c r="F32" s="23"/>
      <c r="G32" s="23"/>
    </row>
    <row r="33" spans="2:7" ht="35.25" customHeight="1" x14ac:dyDescent="0.25">
      <c r="B33" s="39" t="s">
        <v>53</v>
      </c>
      <c r="C33" s="39">
        <f>NETWORKDAYS(C23,C24)</f>
        <v>0</v>
      </c>
      <c r="D33" s="23"/>
      <c r="E33" s="23"/>
      <c r="F33" s="23"/>
      <c r="G33" s="23"/>
    </row>
    <row r="34" spans="2:7" ht="38.25" customHeight="1" x14ac:dyDescent="0.25">
      <c r="B34" s="38" t="s">
        <v>54</v>
      </c>
      <c r="C34" s="38" t="e">
        <f>ROUND(C25*C28/C33,2)</f>
        <v>#DIV/0!</v>
      </c>
      <c r="D34" s="23"/>
      <c r="E34" s="23"/>
      <c r="F34" s="23"/>
      <c r="G34" s="23"/>
    </row>
    <row r="35" spans="2:7" ht="28.5" customHeight="1" x14ac:dyDescent="0.25">
      <c r="B35" s="38" t="s">
        <v>55</v>
      </c>
      <c r="C35" s="38">
        <f>ROUND(C25*C28/22,2)</f>
        <v>0</v>
      </c>
      <c r="D35" s="23"/>
      <c r="E35" s="23"/>
      <c r="F35" s="23"/>
      <c r="G35" s="23"/>
    </row>
    <row r="36" spans="2:7" ht="41.25" customHeight="1" x14ac:dyDescent="0.25">
      <c r="B36" s="38" t="s">
        <v>56</v>
      </c>
      <c r="C36" s="38">
        <f>ROUND(C25*C28/21.67,2)</f>
        <v>0</v>
      </c>
      <c r="D36" s="23"/>
      <c r="E36" s="23"/>
      <c r="F36" s="23"/>
      <c r="G36" s="23"/>
    </row>
    <row r="37" spans="2:7" ht="36" customHeight="1" x14ac:dyDescent="0.25">
      <c r="B37" s="39" t="s">
        <v>57</v>
      </c>
      <c r="C37" s="39">
        <f>C24-C23+1</f>
        <v>1</v>
      </c>
      <c r="D37" s="23"/>
      <c r="E37" s="23"/>
      <c r="F37" s="23"/>
      <c r="G37" s="23"/>
    </row>
    <row r="38" spans="2:7" ht="39" customHeight="1" x14ac:dyDescent="0.25">
      <c r="B38" s="38" t="s">
        <v>58</v>
      </c>
      <c r="C38" s="38">
        <f>ROUND(C25*C26/C37,2)</f>
        <v>0</v>
      </c>
      <c r="D38" s="23"/>
      <c r="E38" s="23"/>
      <c r="F38" s="23"/>
      <c r="G38" s="23"/>
    </row>
    <row r="39" spans="2:7" ht="35.25" customHeight="1" x14ac:dyDescent="0.25">
      <c r="B39" s="38" t="s">
        <v>59</v>
      </c>
      <c r="C39" s="38">
        <f>ROUND(C25*C26/30,2)</f>
        <v>0</v>
      </c>
      <c r="D39" s="23"/>
      <c r="E39" s="23"/>
      <c r="F39" s="23"/>
      <c r="G39" s="23"/>
    </row>
    <row r="40" spans="2:7" ht="36" customHeight="1" x14ac:dyDescent="0.25">
      <c r="B40" s="39" t="s">
        <v>60</v>
      </c>
      <c r="C40" s="39" t="e">
        <f ca="1">SUMPRODUCT((WEEKDAY(ROW(INDIRECT($C23&amp;":"&amp;$C24)))=7)*1)</f>
        <v>#REF!</v>
      </c>
      <c r="D40" s="23"/>
      <c r="E40" s="23"/>
      <c r="F40" s="23"/>
      <c r="G40" s="23"/>
    </row>
    <row r="41" spans="2:7" ht="36" customHeight="1" x14ac:dyDescent="0.25">
      <c r="B41" s="39" t="s">
        <v>61</v>
      </c>
      <c r="C41" s="39" t="e">
        <f ca="1">C37-C40</f>
        <v>#REF!</v>
      </c>
      <c r="D41" s="23"/>
      <c r="E41" s="23"/>
      <c r="F41" s="23"/>
      <c r="G41" s="23"/>
    </row>
    <row r="42" spans="2:7" ht="39.75" customHeight="1" x14ac:dyDescent="0.25">
      <c r="B42" s="38" t="s">
        <v>62</v>
      </c>
      <c r="C42" s="38" t="e">
        <f ca="1">ROUND(C25*C29/C41,2)</f>
        <v>#REF!</v>
      </c>
      <c r="D42" s="23"/>
      <c r="E42" s="23"/>
      <c r="F42" s="23"/>
      <c r="G42" s="23"/>
    </row>
    <row r="43" spans="2:7" ht="39.75" customHeight="1" x14ac:dyDescent="0.25">
      <c r="B43" s="38" t="s">
        <v>63</v>
      </c>
      <c r="C43" s="38" t="e">
        <f ca="1">ROUND(C25*C29/26,2)</f>
        <v>#REF!</v>
      </c>
      <c r="D43" s="23"/>
      <c r="E43" s="23"/>
      <c r="F43" s="23"/>
      <c r="G43" s="23"/>
    </row>
  </sheetData>
  <mergeCells count="4">
    <mergeCell ref="B1:C1"/>
    <mergeCell ref="D2:G2"/>
    <mergeCell ref="D9:F9"/>
    <mergeCell ref="B20:G20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480F9-EC3A-4C41-8E1D-DB1C0129EA1C}">
  <dimension ref="A1"/>
  <sheetViews>
    <sheetView topLeftCell="A14" workbookViewId="0">
      <selection activeCell="M29" sqref="M29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4CED0-8A0A-4AC7-B37F-4390A9A9B4F5}">
  <dimension ref="A1:G42"/>
  <sheetViews>
    <sheetView topLeftCell="A7" workbookViewId="0">
      <selection activeCell="C6" sqref="C6"/>
    </sheetView>
  </sheetViews>
  <sheetFormatPr baseColWidth="10" defaultRowHeight="15" x14ac:dyDescent="0.25"/>
  <cols>
    <col min="1" max="1" width="7" style="23" customWidth="1"/>
    <col min="2" max="2" width="23.28515625" customWidth="1"/>
    <col min="3" max="4" width="14.85546875" customWidth="1"/>
    <col min="5" max="5" width="15.7109375" customWidth="1"/>
    <col min="6" max="6" width="14.85546875" customWidth="1"/>
    <col min="7" max="7" width="16.28515625" customWidth="1"/>
  </cols>
  <sheetData>
    <row r="1" spans="2:7" ht="26.45" customHeight="1" x14ac:dyDescent="0.25">
      <c r="B1" s="65" t="s">
        <v>34</v>
      </c>
      <c r="C1" s="66"/>
      <c r="D1" s="23"/>
      <c r="F1" s="23"/>
      <c r="G1" s="23"/>
    </row>
    <row r="2" spans="2:7" ht="41.25" customHeight="1" x14ac:dyDescent="0.25">
      <c r="B2" s="24" t="s">
        <v>35</v>
      </c>
      <c r="C2" s="25">
        <v>46084</v>
      </c>
      <c r="D2" s="67" t="s">
        <v>64</v>
      </c>
      <c r="E2" s="67"/>
      <c r="F2" s="67"/>
      <c r="G2" s="67"/>
    </row>
    <row r="3" spans="2:7" ht="41.25" customHeight="1" x14ac:dyDescent="0.25">
      <c r="B3" s="24" t="s">
        <v>36</v>
      </c>
      <c r="C3" s="25">
        <v>46112</v>
      </c>
      <c r="D3" s="26"/>
      <c r="E3" s="26"/>
      <c r="F3" s="26"/>
      <c r="G3" s="26"/>
    </row>
    <row r="4" spans="2:7" ht="41.25" customHeight="1" x14ac:dyDescent="0.25">
      <c r="B4" s="27" t="s">
        <v>37</v>
      </c>
      <c r="C4" s="25">
        <v>46082</v>
      </c>
      <c r="D4" s="26"/>
      <c r="E4" s="26"/>
      <c r="F4" s="26"/>
      <c r="G4" s="23"/>
    </row>
    <row r="5" spans="2:7" ht="41.25" customHeight="1" x14ac:dyDescent="0.25">
      <c r="B5" s="27" t="s">
        <v>38</v>
      </c>
      <c r="C5" s="25">
        <v>46112</v>
      </c>
      <c r="D5" s="26"/>
      <c r="E5" s="26"/>
      <c r="F5" s="26"/>
      <c r="G5" s="23"/>
    </row>
    <row r="6" spans="2:7" ht="41.25" customHeight="1" x14ac:dyDescent="0.25">
      <c r="B6" s="27" t="s">
        <v>39</v>
      </c>
      <c r="C6" s="28">
        <v>2800</v>
      </c>
      <c r="D6" s="26"/>
      <c r="E6" s="26"/>
      <c r="F6" s="26"/>
      <c r="G6" s="23"/>
    </row>
    <row r="7" spans="2:7" ht="39.75" customHeight="1" x14ac:dyDescent="0.25">
      <c r="B7" s="24" t="s">
        <v>40</v>
      </c>
      <c r="C7" s="27">
        <f>C3-C2+1</f>
        <v>29</v>
      </c>
      <c r="D7" s="23"/>
      <c r="E7" s="23"/>
      <c r="F7" s="23"/>
      <c r="G7" s="23"/>
    </row>
    <row r="8" spans="2:7" ht="39.75" customHeight="1" x14ac:dyDescent="0.25">
      <c r="B8" s="24" t="s">
        <v>41</v>
      </c>
      <c r="C8" s="27">
        <v>0</v>
      </c>
      <c r="D8" s="48" t="s">
        <v>68</v>
      </c>
      <c r="E8" s="48"/>
      <c r="F8" s="48"/>
      <c r="G8" s="48"/>
    </row>
    <row r="9" spans="2:7" ht="39.75" customHeight="1" x14ac:dyDescent="0.25">
      <c r="B9" s="24" t="s">
        <v>33</v>
      </c>
      <c r="C9" s="27">
        <f>C7-C8</f>
        <v>29</v>
      </c>
      <c r="D9" s="68"/>
      <c r="E9" s="69"/>
      <c r="F9" s="69"/>
      <c r="G9" s="23"/>
    </row>
    <row r="10" spans="2:7" ht="39.75" customHeight="1" x14ac:dyDescent="0.25">
      <c r="B10" s="24" t="s">
        <v>42</v>
      </c>
      <c r="C10" s="27">
        <f ca="1">SUMPRODUCT((WEEKDAY(ROW(INDIRECT(C$2&amp;":"&amp;C$3)))=7)*1)</f>
        <v>4</v>
      </c>
      <c r="D10" s="23"/>
      <c r="E10" s="23"/>
      <c r="F10" s="23"/>
      <c r="G10" s="23"/>
    </row>
    <row r="11" spans="2:7" ht="39.75" customHeight="1" x14ac:dyDescent="0.25">
      <c r="B11" s="24" t="s">
        <v>43</v>
      </c>
      <c r="C11" s="27">
        <f ca="1">C7-C10</f>
        <v>25</v>
      </c>
      <c r="D11" s="23"/>
      <c r="E11" s="23"/>
      <c r="F11" s="23"/>
      <c r="G11" s="23"/>
    </row>
    <row r="12" spans="2:7" ht="39.75" customHeight="1" x14ac:dyDescent="0.25">
      <c r="B12" s="24" t="s">
        <v>44</v>
      </c>
      <c r="C12" s="27">
        <f>NETWORKDAYS(C2,C3)</f>
        <v>21</v>
      </c>
      <c r="D12" s="23"/>
      <c r="E12" s="23"/>
      <c r="F12" s="23"/>
      <c r="G12" s="23"/>
    </row>
    <row r="13" spans="2:7" ht="45.75" customHeight="1" x14ac:dyDescent="0.25">
      <c r="F13" s="29"/>
      <c r="G13" s="29"/>
    </row>
    <row r="14" spans="2:7" ht="45.75" customHeight="1" x14ac:dyDescent="0.25">
      <c r="F14" s="29"/>
      <c r="G14" s="29"/>
    </row>
    <row r="15" spans="2:7" ht="45.75" customHeight="1" x14ac:dyDescent="0.25">
      <c r="F15" s="29"/>
      <c r="G15" s="29"/>
    </row>
    <row r="16" spans="2:7" ht="45.75" customHeight="1" x14ac:dyDescent="0.25">
      <c r="F16" s="29"/>
      <c r="G16" s="29"/>
    </row>
    <row r="17" spans="2:7" ht="45.75" customHeight="1" x14ac:dyDescent="0.25">
      <c r="F17" s="29"/>
      <c r="G17" s="29"/>
    </row>
    <row r="18" spans="2:7" ht="45.75" customHeight="1" x14ac:dyDescent="0.25">
      <c r="F18" s="29"/>
      <c r="G18" s="29"/>
    </row>
    <row r="19" spans="2:7" ht="33.75" customHeight="1" x14ac:dyDescent="0.25">
      <c r="B19" s="70" t="s">
        <v>45</v>
      </c>
      <c r="C19" s="71"/>
      <c r="D19" s="71"/>
      <c r="E19" s="71"/>
      <c r="F19" s="71"/>
      <c r="G19" s="72"/>
    </row>
    <row r="20" spans="2:7" ht="33" customHeight="1" x14ac:dyDescent="0.25">
      <c r="B20" s="30" t="s">
        <v>35</v>
      </c>
      <c r="C20" s="31">
        <f>C2</f>
        <v>46084</v>
      </c>
      <c r="D20" s="32"/>
      <c r="E20" s="32"/>
      <c r="F20" s="32"/>
      <c r="G20" s="33"/>
    </row>
    <row r="21" spans="2:7" ht="33" customHeight="1" x14ac:dyDescent="0.25">
      <c r="B21" s="34" t="s">
        <v>36</v>
      </c>
      <c r="C21" s="35">
        <f>C3</f>
        <v>46112</v>
      </c>
      <c r="D21" s="32"/>
      <c r="E21" s="32"/>
      <c r="F21" s="32"/>
      <c r="G21" s="36"/>
    </row>
    <row r="22" spans="2:7" ht="33" customHeight="1" x14ac:dyDescent="0.25">
      <c r="B22" s="34" t="s">
        <v>37</v>
      </c>
      <c r="C22" s="35">
        <f>C4</f>
        <v>46082</v>
      </c>
      <c r="D22" s="26"/>
      <c r="E22" s="26"/>
      <c r="F22" s="26"/>
      <c r="G22" s="23"/>
    </row>
    <row r="23" spans="2:7" ht="33" customHeight="1" x14ac:dyDescent="0.25">
      <c r="B23" s="34" t="s">
        <v>38</v>
      </c>
      <c r="C23" s="35">
        <f>C5</f>
        <v>46112</v>
      </c>
      <c r="D23" s="26"/>
      <c r="E23" s="26"/>
      <c r="F23" s="26"/>
      <c r="G23" s="23"/>
    </row>
    <row r="24" spans="2:7" ht="33" customHeight="1" x14ac:dyDescent="0.25">
      <c r="B24" s="34" t="s">
        <v>46</v>
      </c>
      <c r="C24" s="37">
        <f>C6</f>
        <v>2800</v>
      </c>
      <c r="D24" s="23"/>
      <c r="E24" s="23"/>
      <c r="F24" s="23"/>
      <c r="G24" s="23"/>
    </row>
    <row r="25" spans="2:7" ht="33.75" customHeight="1" x14ac:dyDescent="0.25">
      <c r="B25" s="38" t="s">
        <v>40</v>
      </c>
      <c r="C25" s="38">
        <f>C21-C20+1</f>
        <v>29</v>
      </c>
      <c r="D25" s="23"/>
      <c r="E25" s="23"/>
      <c r="F25" s="23"/>
      <c r="G25" s="23"/>
    </row>
    <row r="26" spans="2:7" ht="33.75" customHeight="1" x14ac:dyDescent="0.25">
      <c r="B26" s="39" t="s">
        <v>47</v>
      </c>
      <c r="C26" s="39">
        <f ca="1">SUMPRODUCT((WEEKDAY(ROW(INDIRECT(C$20&amp;":"&amp;C$21)))=7)*1)</f>
        <v>4</v>
      </c>
      <c r="D26" s="23"/>
      <c r="E26" s="23"/>
      <c r="F26" s="23"/>
      <c r="G26" s="23"/>
    </row>
    <row r="27" spans="2:7" ht="33.75" customHeight="1" x14ac:dyDescent="0.25">
      <c r="B27" s="38" t="s">
        <v>48</v>
      </c>
      <c r="C27" s="38">
        <f>NETWORKDAYS(C20,C21)</f>
        <v>21</v>
      </c>
      <c r="D27" s="23"/>
      <c r="E27" s="23"/>
      <c r="F27" s="23"/>
      <c r="G27" s="23"/>
    </row>
    <row r="28" spans="2:7" ht="33.75" customHeight="1" x14ac:dyDescent="0.25">
      <c r="B28" s="38" t="s">
        <v>49</v>
      </c>
      <c r="C28" s="38">
        <f ca="1">C25-C26</f>
        <v>25</v>
      </c>
      <c r="D28" s="23"/>
      <c r="E28" s="23"/>
      <c r="F28" s="23"/>
      <c r="G28" s="23"/>
    </row>
    <row r="29" spans="2:7" ht="33.75" customHeight="1" x14ac:dyDescent="0.25">
      <c r="B29" s="40" t="s">
        <v>50</v>
      </c>
      <c r="C29" s="40"/>
      <c r="D29" s="33"/>
      <c r="E29" s="33"/>
      <c r="F29" s="33"/>
      <c r="G29" s="33"/>
    </row>
    <row r="30" spans="2:7" ht="33.75" customHeight="1" x14ac:dyDescent="0.25">
      <c r="B30" s="40" t="s">
        <v>51</v>
      </c>
      <c r="C30" s="40"/>
      <c r="D30" s="33"/>
      <c r="E30" s="33"/>
      <c r="F30" s="33"/>
      <c r="G30" s="33"/>
    </row>
    <row r="31" spans="2:7" ht="33.75" customHeight="1" x14ac:dyDescent="0.25">
      <c r="B31" s="41" t="s">
        <v>52</v>
      </c>
      <c r="C31" s="38" t="e">
        <f>-C30*C24/C29</f>
        <v>#DIV/0!</v>
      </c>
      <c r="D31" s="23"/>
      <c r="E31" s="23"/>
      <c r="F31" s="23"/>
      <c r="G31" s="23"/>
    </row>
    <row r="32" spans="2:7" ht="35.25" customHeight="1" x14ac:dyDescent="0.25">
      <c r="B32" s="39" t="s">
        <v>53</v>
      </c>
      <c r="C32" s="39">
        <f>NETWORKDAYS(C22,C23)</f>
        <v>22</v>
      </c>
      <c r="D32" s="23"/>
      <c r="E32" s="23"/>
      <c r="F32" s="23"/>
      <c r="G32" s="23"/>
    </row>
    <row r="33" spans="2:7" ht="38.25" customHeight="1" x14ac:dyDescent="0.25">
      <c r="B33" s="38" t="s">
        <v>54</v>
      </c>
      <c r="C33" s="38">
        <f>ROUND(C24*C27/C32,2)</f>
        <v>2672.73</v>
      </c>
      <c r="D33" s="23"/>
      <c r="E33" s="23"/>
      <c r="F33" s="23"/>
      <c r="G33" s="23"/>
    </row>
    <row r="34" spans="2:7" ht="28.5" customHeight="1" x14ac:dyDescent="0.25">
      <c r="B34" s="38" t="s">
        <v>55</v>
      </c>
      <c r="C34" s="38">
        <f>ROUND(C24*C27/22,2)</f>
        <v>2672.73</v>
      </c>
      <c r="D34" s="23"/>
      <c r="E34" s="23"/>
      <c r="F34" s="23"/>
      <c r="G34" s="23"/>
    </row>
    <row r="35" spans="2:7" ht="41.25" customHeight="1" x14ac:dyDescent="0.25">
      <c r="B35" s="38" t="s">
        <v>56</v>
      </c>
      <c r="C35" s="38">
        <f>ROUND(C24*C27/21.67,2)</f>
        <v>2713.43</v>
      </c>
      <c r="D35" s="23"/>
      <c r="E35" s="23"/>
      <c r="F35" s="23"/>
      <c r="G35" s="23"/>
    </row>
    <row r="36" spans="2:7" ht="36" customHeight="1" x14ac:dyDescent="0.25">
      <c r="B36" s="39" t="s">
        <v>57</v>
      </c>
      <c r="C36" s="39">
        <f>C23-C22+1</f>
        <v>31</v>
      </c>
      <c r="D36" s="23"/>
      <c r="E36" s="23"/>
      <c r="F36" s="23"/>
      <c r="G36" s="23"/>
    </row>
    <row r="37" spans="2:7" ht="39" customHeight="1" x14ac:dyDescent="0.25">
      <c r="B37" s="38" t="s">
        <v>58</v>
      </c>
      <c r="C37" s="38">
        <f>ROUND(C24*C25/C36,2)</f>
        <v>2619.35</v>
      </c>
      <c r="D37" s="23"/>
      <c r="E37" s="23"/>
      <c r="F37" s="23"/>
      <c r="G37" s="23"/>
    </row>
    <row r="38" spans="2:7" ht="35.25" customHeight="1" x14ac:dyDescent="0.25">
      <c r="B38" s="38" t="s">
        <v>59</v>
      </c>
      <c r="C38" s="38">
        <f>ROUND(C24*C25/30,2)</f>
        <v>2706.67</v>
      </c>
      <c r="D38" s="23"/>
      <c r="E38" s="23"/>
      <c r="F38" s="23"/>
      <c r="G38" s="23"/>
    </row>
    <row r="39" spans="2:7" ht="36" customHeight="1" x14ac:dyDescent="0.25">
      <c r="B39" s="39" t="s">
        <v>60</v>
      </c>
      <c r="C39" s="39">
        <f ca="1">SUMPRODUCT((WEEKDAY(ROW(INDIRECT($C22&amp;":"&amp;$C23)))=7)*1)</f>
        <v>4</v>
      </c>
      <c r="D39" s="23"/>
      <c r="E39" s="23"/>
      <c r="F39" s="23"/>
      <c r="G39" s="23"/>
    </row>
    <row r="40" spans="2:7" ht="36" customHeight="1" x14ac:dyDescent="0.25">
      <c r="B40" s="39" t="s">
        <v>61</v>
      </c>
      <c r="C40" s="39">
        <f ca="1">C36-C39</f>
        <v>27</v>
      </c>
      <c r="D40" s="23"/>
      <c r="E40" s="23"/>
      <c r="F40" s="23"/>
      <c r="G40" s="23"/>
    </row>
    <row r="41" spans="2:7" ht="39.75" customHeight="1" x14ac:dyDescent="0.25">
      <c r="B41" s="38" t="s">
        <v>62</v>
      </c>
      <c r="C41" s="38">
        <f ca="1">ROUND(C24*C28/C40,2)</f>
        <v>2592.59</v>
      </c>
      <c r="D41" s="23"/>
      <c r="E41" s="23"/>
      <c r="F41" s="23"/>
      <c r="G41" s="23"/>
    </row>
    <row r="42" spans="2:7" ht="39.75" customHeight="1" x14ac:dyDescent="0.25">
      <c r="B42" s="38" t="s">
        <v>63</v>
      </c>
      <c r="C42" s="38">
        <f ca="1">ROUND(C24*C28/26,2)</f>
        <v>2692.31</v>
      </c>
      <c r="D42" s="23"/>
      <c r="E42" s="23"/>
      <c r="F42" s="23"/>
      <c r="G42" s="23"/>
    </row>
  </sheetData>
  <mergeCells count="5">
    <mergeCell ref="B19:G19"/>
    <mergeCell ref="D2:G2"/>
    <mergeCell ref="D8:G8"/>
    <mergeCell ref="D9:F9"/>
    <mergeCell ref="B1:C1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9DD78-0D14-4B52-B863-69527D7141E3}">
  <dimension ref="A1:K34"/>
  <sheetViews>
    <sheetView tabSelected="1" topLeftCell="A27" workbookViewId="0">
      <selection activeCell="A27" sqref="A1:XFD1048576"/>
    </sheetView>
  </sheetViews>
  <sheetFormatPr baseColWidth="10" defaultColWidth="11.42578125" defaultRowHeight="15" x14ac:dyDescent="0.25"/>
  <cols>
    <col min="1" max="1" width="14.28515625" style="1" customWidth="1"/>
    <col min="2" max="2" width="54.28515625" style="1" customWidth="1"/>
    <col min="3" max="3" width="21.85546875" style="22" customWidth="1"/>
    <col min="4" max="4" width="16.28515625" style="1" customWidth="1"/>
    <col min="5" max="5" width="18.28515625" style="1" customWidth="1"/>
    <col min="6" max="6" width="15.5703125" style="1" customWidth="1"/>
    <col min="7" max="7" width="11.42578125" style="1"/>
    <col min="8" max="8" width="15.7109375" style="1" customWidth="1"/>
    <col min="9" max="10" width="23.28515625" style="1" customWidth="1"/>
    <col min="11" max="16384" width="11.42578125" style="1"/>
  </cols>
  <sheetData>
    <row r="1" spans="1:11" x14ac:dyDescent="0.25">
      <c r="A1" s="45" t="s">
        <v>0</v>
      </c>
      <c r="B1" s="45"/>
      <c r="C1" s="45"/>
    </row>
    <row r="2" spans="1:11" ht="39.75" customHeight="1" x14ac:dyDescent="0.25">
      <c r="A2" s="44" t="s">
        <v>1</v>
      </c>
      <c r="B2" s="3" t="s">
        <v>2</v>
      </c>
      <c r="C2" s="4">
        <v>4005</v>
      </c>
      <c r="E2" s="5"/>
      <c r="F2" s="5"/>
      <c r="G2" s="5"/>
      <c r="J2" s="5"/>
      <c r="K2" s="5"/>
    </row>
    <row r="3" spans="1:11" ht="30" customHeight="1" x14ac:dyDescent="0.25">
      <c r="B3" s="3" t="s">
        <v>65</v>
      </c>
      <c r="C3" s="6">
        <v>29</v>
      </c>
      <c r="D3" s="51" t="s">
        <v>69</v>
      </c>
      <c r="E3" s="51"/>
      <c r="F3" s="51"/>
      <c r="G3" s="5"/>
      <c r="J3" s="5"/>
      <c r="K3" s="5"/>
    </row>
    <row r="4" spans="1:11" x14ac:dyDescent="0.25">
      <c r="A4" s="46" t="s">
        <v>3</v>
      </c>
      <c r="B4" s="48" t="s">
        <v>4</v>
      </c>
      <c r="C4" s="49">
        <v>2800</v>
      </c>
    </row>
    <row r="5" spans="1:11" ht="43.5" customHeight="1" x14ac:dyDescent="0.25">
      <c r="A5" s="47"/>
      <c r="B5" s="48"/>
      <c r="C5" s="50"/>
    </row>
    <row r="6" spans="1:11" x14ac:dyDescent="0.25">
      <c r="A6" s="51" t="s">
        <v>5</v>
      </c>
      <c r="B6" s="52" t="s">
        <v>6</v>
      </c>
      <c r="C6" s="54">
        <v>1</v>
      </c>
    </row>
    <row r="7" spans="1:11" ht="90.75" customHeight="1" x14ac:dyDescent="0.25">
      <c r="A7" s="51"/>
      <c r="B7" s="53"/>
      <c r="C7" s="54"/>
    </row>
    <row r="8" spans="1:11" ht="29.25" customHeight="1" x14ac:dyDescent="0.25">
      <c r="A8" s="7" t="s">
        <v>7</v>
      </c>
      <c r="B8" s="8" t="s">
        <v>8</v>
      </c>
      <c r="C8" s="4">
        <v>1800</v>
      </c>
    </row>
    <row r="9" spans="1:11" x14ac:dyDescent="0.25">
      <c r="A9" s="59" t="s">
        <v>9</v>
      </c>
      <c r="B9" s="46" t="s">
        <v>10</v>
      </c>
      <c r="C9" s="64">
        <f>IF(C6=0,0,IF(C6=1,C8/12,IF(C6=2,C8/6,IF(C6=3,C8/3,IF(C6=4,C8/2)))))</f>
        <v>150</v>
      </c>
    </row>
    <row r="10" spans="1:11" x14ac:dyDescent="0.25">
      <c r="A10" s="60"/>
      <c r="B10" s="47"/>
      <c r="C10" s="64"/>
    </row>
    <row r="11" spans="1:11" x14ac:dyDescent="0.25">
      <c r="A11" s="59" t="s">
        <v>11</v>
      </c>
      <c r="B11" s="46" t="s">
        <v>12</v>
      </c>
      <c r="C11" s="63">
        <f>C4+C9</f>
        <v>2950</v>
      </c>
    </row>
    <row r="12" spans="1:11" x14ac:dyDescent="0.25">
      <c r="A12" s="60"/>
      <c r="B12" s="47"/>
      <c r="C12" s="63"/>
    </row>
    <row r="13" spans="1:11" x14ac:dyDescent="0.25">
      <c r="A13" s="59" t="s">
        <v>9</v>
      </c>
      <c r="B13" s="61" t="s">
        <v>13</v>
      </c>
      <c r="C13" s="63">
        <f>C11/30.42</f>
        <v>96.975673898750813</v>
      </c>
      <c r="D13" s="48" t="s">
        <v>14</v>
      </c>
    </row>
    <row r="14" spans="1:11" x14ac:dyDescent="0.25">
      <c r="A14" s="60"/>
      <c r="B14" s="62"/>
      <c r="C14" s="63"/>
      <c r="D14" s="48"/>
    </row>
    <row r="15" spans="1:11" ht="25.5" customHeight="1" x14ac:dyDescent="0.25">
      <c r="B15" s="9" t="s">
        <v>15</v>
      </c>
      <c r="C15" s="10"/>
      <c r="F15" s="58"/>
      <c r="G15" s="58"/>
      <c r="H15" s="55"/>
    </row>
    <row r="16" spans="1:11" ht="25.5" customHeight="1" x14ac:dyDescent="0.25">
      <c r="B16" s="7" t="s">
        <v>16</v>
      </c>
      <c r="C16" s="12">
        <f>ROUND(60%*C13,2)</f>
        <v>58.19</v>
      </c>
      <c r="F16" s="58"/>
      <c r="G16" s="58"/>
      <c r="H16" s="55"/>
    </row>
    <row r="17" spans="2:8" ht="25.5" customHeight="1" x14ac:dyDescent="0.25">
      <c r="B17" s="7" t="s">
        <v>17</v>
      </c>
      <c r="C17" s="12">
        <f>ROUND(C13*0.79,2)</f>
        <v>76.61</v>
      </c>
      <c r="F17" s="58"/>
      <c r="G17" s="58"/>
      <c r="H17" s="55"/>
    </row>
    <row r="18" spans="2:8" ht="25.5" customHeight="1" x14ac:dyDescent="0.25">
      <c r="B18" s="7" t="s">
        <v>18</v>
      </c>
      <c r="C18" s="12">
        <f>MIN(C16,C17)</f>
        <v>58.19</v>
      </c>
      <c r="F18" s="58"/>
      <c r="G18" s="58"/>
      <c r="H18" s="55"/>
    </row>
    <row r="19" spans="2:8" ht="25.5" customHeight="1" x14ac:dyDescent="0.25">
      <c r="B19" s="7" t="s">
        <v>19</v>
      </c>
      <c r="C19" s="12">
        <f>0.834%*C2*12*60 %</f>
        <v>240.49223999999995</v>
      </c>
      <c r="F19" s="5"/>
      <c r="G19" s="5"/>
      <c r="H19" s="11"/>
    </row>
    <row r="20" spans="2:8" ht="25.5" customHeight="1" x14ac:dyDescent="0.25">
      <c r="B20" s="7" t="s">
        <v>20</v>
      </c>
      <c r="C20" s="13">
        <f>MIN(C18,C19)</f>
        <v>58.19</v>
      </c>
      <c r="F20" s="5"/>
      <c r="G20" s="5"/>
      <c r="H20" s="11"/>
    </row>
    <row r="21" spans="2:8" ht="25.5" customHeight="1" x14ac:dyDescent="0.25">
      <c r="B21" s="42" t="s">
        <v>21</v>
      </c>
      <c r="C21" s="12"/>
      <c r="F21" s="5"/>
      <c r="G21" s="5"/>
      <c r="H21" s="11"/>
    </row>
    <row r="22" spans="2:8" ht="25.5" customHeight="1" x14ac:dyDescent="0.25">
      <c r="B22" s="7" t="s">
        <v>17</v>
      </c>
      <c r="C22" s="12">
        <f>C17</f>
        <v>76.61</v>
      </c>
      <c r="F22" s="5"/>
      <c r="G22" s="5"/>
      <c r="H22" s="11"/>
    </row>
    <row r="23" spans="2:8" ht="25.5" customHeight="1" x14ac:dyDescent="0.25">
      <c r="B23" s="7" t="s">
        <v>22</v>
      </c>
      <c r="C23" s="12">
        <f>ROUND(80%*C13,2)</f>
        <v>77.58</v>
      </c>
      <c r="F23" s="5"/>
      <c r="G23" s="5"/>
      <c r="H23" s="11"/>
    </row>
    <row r="24" spans="2:8" ht="25.5" customHeight="1" x14ac:dyDescent="0.25">
      <c r="B24" s="7" t="s">
        <v>23</v>
      </c>
      <c r="C24" s="12">
        <f>MIN(C22,C23)</f>
        <v>76.61</v>
      </c>
      <c r="F24" s="5"/>
      <c r="G24" s="5"/>
      <c r="H24" s="11"/>
    </row>
    <row r="25" spans="2:8" ht="25.5" customHeight="1" x14ac:dyDescent="0.25">
      <c r="B25" s="7" t="s">
        <v>24</v>
      </c>
      <c r="C25" s="12">
        <f>ROUND(0.834%*C2*12*80 %,2)</f>
        <v>320.66000000000003</v>
      </c>
      <c r="F25" s="5"/>
      <c r="G25" s="5"/>
      <c r="H25" s="11"/>
    </row>
    <row r="26" spans="2:8" ht="25.5" customHeight="1" x14ac:dyDescent="0.25">
      <c r="B26" s="7" t="s">
        <v>25</v>
      </c>
      <c r="C26" s="13">
        <f>MIN(C24,C25)</f>
        <v>76.61</v>
      </c>
      <c r="F26" s="5"/>
      <c r="G26" s="5"/>
      <c r="H26" s="11"/>
    </row>
    <row r="27" spans="2:8" ht="25.5" customHeight="1" x14ac:dyDescent="0.25">
      <c r="B27" s="14" t="s">
        <v>26</v>
      </c>
      <c r="C27" s="15">
        <f>IF(C3&lt;=28,C3*C20,28*C20+(C3-28)*C26)</f>
        <v>1705.9299999999998</v>
      </c>
      <c r="D27" s="1" t="s">
        <v>70</v>
      </c>
      <c r="F27" s="43"/>
      <c r="G27" s="5"/>
      <c r="H27" s="11"/>
    </row>
    <row r="28" spans="2:8" ht="28.5" customHeight="1" x14ac:dyDescent="0.25">
      <c r="B28" s="16" t="s">
        <v>27</v>
      </c>
      <c r="C28" s="17">
        <f>C27*3.8%</f>
        <v>64.825339999999997</v>
      </c>
    </row>
    <row r="29" spans="2:8" ht="28.5" customHeight="1" x14ac:dyDescent="0.25">
      <c r="B29" s="16" t="s">
        <v>28</v>
      </c>
      <c r="C29" s="17">
        <f>C27*2.9%</f>
        <v>49.471969999999992</v>
      </c>
    </row>
    <row r="30" spans="2:8" ht="28.5" customHeight="1" x14ac:dyDescent="0.25">
      <c r="B30" s="18" t="s">
        <v>29</v>
      </c>
      <c r="C30" s="19">
        <f>C27-C28-C29</f>
        <v>1591.6326899999997</v>
      </c>
    </row>
    <row r="31" spans="2:8" ht="28.5" customHeight="1" x14ac:dyDescent="0.25">
      <c r="B31" s="16" t="s">
        <v>30</v>
      </c>
      <c r="C31" s="17">
        <f>50% * C27</f>
        <v>852.96499999999992</v>
      </c>
    </row>
    <row r="32" spans="2:8" ht="28.5" customHeight="1" x14ac:dyDescent="0.25">
      <c r="B32" s="16" t="s">
        <v>31</v>
      </c>
      <c r="C32" s="17">
        <f>C31*3.8%</f>
        <v>32.412669999999999</v>
      </c>
    </row>
    <row r="33" spans="2:3" ht="28.5" x14ac:dyDescent="0.25">
      <c r="B33" s="20" t="s">
        <v>32</v>
      </c>
      <c r="C33" s="19">
        <f>+C31-C32</f>
        <v>820.55232999999987</v>
      </c>
    </row>
    <row r="34" spans="2:3" ht="29.25" customHeight="1" x14ac:dyDescent="0.25">
      <c r="B34" s="3" t="s">
        <v>33</v>
      </c>
      <c r="C34" s="21">
        <f>C3</f>
        <v>29</v>
      </c>
    </row>
  </sheetData>
  <mergeCells count="21">
    <mergeCell ref="H15:H18"/>
    <mergeCell ref="D3:F3"/>
    <mergeCell ref="A13:A14"/>
    <mergeCell ref="B13:B14"/>
    <mergeCell ref="C13:C14"/>
    <mergeCell ref="D13:D14"/>
    <mergeCell ref="F15:F18"/>
    <mergeCell ref="G15:G18"/>
    <mergeCell ref="A9:A10"/>
    <mergeCell ref="B9:B10"/>
    <mergeCell ref="C9:C10"/>
    <mergeCell ref="A11:A12"/>
    <mergeCell ref="B11:B12"/>
    <mergeCell ref="C11:C12"/>
    <mergeCell ref="A1:C1"/>
    <mergeCell ref="A4:A5"/>
    <mergeCell ref="B4:B5"/>
    <mergeCell ref="C4:C5"/>
    <mergeCell ref="A6:A7"/>
    <mergeCell ref="B6:B7"/>
    <mergeCell ref="C6:C7"/>
  </mergeCells>
  <conditionalFormatting sqref="A2:G2 C4:G4 A3:D3 G3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{22BB0B5B-003A-44A3-924F-5EB63D13D6DA}</x14:id>
        </ext>
      </extLst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2BB0B5B-003A-44A3-924F-5EB63D13D6D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A2:G2 C4:G4 A3:D3 G3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8EDB1-370D-4494-A2ED-B9FD182F51E3}">
  <dimension ref="A1"/>
  <sheetViews>
    <sheetView workbookViewId="0">
      <selection activeCell="B26" sqref="B26"/>
    </sheetView>
  </sheetViews>
  <sheetFormatPr baseColWidth="10"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A8A2F-0327-4D16-AF94-AD60FC722476}">
  <dimension ref="A1:G42"/>
  <sheetViews>
    <sheetView topLeftCell="A8" workbookViewId="0">
      <selection activeCell="C5" sqref="C5"/>
    </sheetView>
  </sheetViews>
  <sheetFormatPr baseColWidth="10" defaultRowHeight="15" x14ac:dyDescent="0.25"/>
  <cols>
    <col min="1" max="1" width="7" style="23" customWidth="1"/>
    <col min="2" max="2" width="23.28515625" customWidth="1"/>
    <col min="3" max="4" width="14.85546875" customWidth="1"/>
    <col min="5" max="5" width="15.7109375" customWidth="1"/>
    <col min="6" max="6" width="14.85546875" customWidth="1"/>
    <col min="7" max="7" width="16.28515625" customWidth="1"/>
  </cols>
  <sheetData>
    <row r="1" spans="2:7" ht="26.45" customHeight="1" x14ac:dyDescent="0.25">
      <c r="B1" s="65" t="s">
        <v>34</v>
      </c>
      <c r="C1" s="66"/>
      <c r="D1" s="23"/>
      <c r="F1" s="23"/>
      <c r="G1" s="23"/>
    </row>
    <row r="2" spans="2:7" ht="41.25" customHeight="1" x14ac:dyDescent="0.25">
      <c r="B2" s="24" t="s">
        <v>35</v>
      </c>
      <c r="C2" s="25">
        <v>46025</v>
      </c>
      <c r="D2" s="67" t="s">
        <v>64</v>
      </c>
      <c r="E2" s="67"/>
      <c r="F2" s="67"/>
      <c r="G2" s="67"/>
    </row>
    <row r="3" spans="2:7" ht="41.25" customHeight="1" x14ac:dyDescent="0.25">
      <c r="B3" s="24" t="s">
        <v>36</v>
      </c>
      <c r="C3" s="25">
        <v>46053</v>
      </c>
      <c r="D3" s="26"/>
      <c r="E3" s="26"/>
      <c r="F3" s="26"/>
      <c r="G3" s="26"/>
    </row>
    <row r="4" spans="2:7" ht="41.25" customHeight="1" x14ac:dyDescent="0.25">
      <c r="B4" s="27" t="s">
        <v>37</v>
      </c>
      <c r="C4" s="25">
        <v>46023</v>
      </c>
      <c r="D4" s="26"/>
      <c r="E4" s="26"/>
      <c r="F4" s="26"/>
      <c r="G4" s="23"/>
    </row>
    <row r="5" spans="2:7" ht="41.25" customHeight="1" x14ac:dyDescent="0.25">
      <c r="B5" s="27" t="s">
        <v>38</v>
      </c>
      <c r="C5" s="25">
        <v>46053</v>
      </c>
      <c r="D5" s="26"/>
      <c r="E5" s="26"/>
      <c r="F5" s="26"/>
      <c r="G5" s="23"/>
    </row>
    <row r="6" spans="2:7" ht="41.25" customHeight="1" x14ac:dyDescent="0.25">
      <c r="B6" s="27" t="s">
        <v>39</v>
      </c>
      <c r="C6" s="28">
        <v>2800</v>
      </c>
      <c r="D6" s="26"/>
      <c r="E6" s="26"/>
      <c r="F6" s="26"/>
      <c r="G6" s="23"/>
    </row>
    <row r="7" spans="2:7" ht="39.75" customHeight="1" x14ac:dyDescent="0.25">
      <c r="B7" s="24" t="s">
        <v>40</v>
      </c>
      <c r="C7" s="27">
        <f>C3-C2+1</f>
        <v>29</v>
      </c>
      <c r="D7" s="23"/>
      <c r="E7" s="23"/>
      <c r="F7" s="23"/>
      <c r="G7" s="23"/>
    </row>
    <row r="8" spans="2:7" ht="39.75" customHeight="1" x14ac:dyDescent="0.25">
      <c r="B8" s="24" t="s">
        <v>41</v>
      </c>
      <c r="C8" s="27">
        <v>0</v>
      </c>
      <c r="D8" s="48" t="s">
        <v>68</v>
      </c>
      <c r="E8" s="48"/>
      <c r="F8" s="48"/>
      <c r="G8" s="48"/>
    </row>
    <row r="9" spans="2:7" ht="39.75" customHeight="1" x14ac:dyDescent="0.25">
      <c r="B9" s="24" t="s">
        <v>33</v>
      </c>
      <c r="C9" s="27">
        <f>C7-C8</f>
        <v>29</v>
      </c>
      <c r="D9" s="68"/>
      <c r="E9" s="69"/>
      <c r="F9" s="69"/>
      <c r="G9" s="23"/>
    </row>
    <row r="10" spans="2:7" ht="39.75" customHeight="1" x14ac:dyDescent="0.25">
      <c r="B10" s="24" t="s">
        <v>42</v>
      </c>
      <c r="C10" s="27">
        <f ca="1">SUMPRODUCT((WEEKDAY(ROW(INDIRECT(C$2&amp;":"&amp;C$3)))=7)*1)</f>
        <v>5</v>
      </c>
      <c r="D10" s="23"/>
      <c r="E10" s="23"/>
      <c r="F10" s="23"/>
      <c r="G10" s="23"/>
    </row>
    <row r="11" spans="2:7" ht="39.75" customHeight="1" x14ac:dyDescent="0.25">
      <c r="B11" s="24" t="s">
        <v>43</v>
      </c>
      <c r="C11" s="27">
        <f ca="1">C7-C10</f>
        <v>24</v>
      </c>
      <c r="D11" s="23"/>
      <c r="E11" s="23"/>
      <c r="F11" s="23"/>
      <c r="G11" s="23"/>
    </row>
    <row r="12" spans="2:7" ht="39.75" customHeight="1" x14ac:dyDescent="0.25">
      <c r="B12" s="24" t="s">
        <v>44</v>
      </c>
      <c r="C12" s="27">
        <f>NETWORKDAYS(C2,C3)</f>
        <v>20</v>
      </c>
      <c r="D12" s="23"/>
      <c r="E12" s="23"/>
      <c r="F12" s="23"/>
      <c r="G12" s="23"/>
    </row>
    <row r="13" spans="2:7" ht="45.75" customHeight="1" x14ac:dyDescent="0.25">
      <c r="F13" s="29"/>
      <c r="G13" s="29"/>
    </row>
    <row r="14" spans="2:7" ht="45.75" customHeight="1" x14ac:dyDescent="0.25">
      <c r="F14" s="29"/>
      <c r="G14" s="29"/>
    </row>
    <row r="15" spans="2:7" ht="45.75" customHeight="1" x14ac:dyDescent="0.25">
      <c r="F15" s="29"/>
      <c r="G15" s="29"/>
    </row>
    <row r="16" spans="2:7" ht="45.75" customHeight="1" x14ac:dyDescent="0.25">
      <c r="F16" s="29"/>
      <c r="G16" s="29"/>
    </row>
    <row r="17" spans="2:7" ht="45.75" customHeight="1" x14ac:dyDescent="0.25">
      <c r="F17" s="29"/>
      <c r="G17" s="29"/>
    </row>
    <row r="18" spans="2:7" ht="45.75" customHeight="1" x14ac:dyDescent="0.25">
      <c r="F18" s="29"/>
      <c r="G18" s="29"/>
    </row>
    <row r="19" spans="2:7" ht="33.75" customHeight="1" x14ac:dyDescent="0.25">
      <c r="B19" s="70" t="s">
        <v>45</v>
      </c>
      <c r="C19" s="71"/>
      <c r="D19" s="71"/>
      <c r="E19" s="71"/>
      <c r="F19" s="71"/>
      <c r="G19" s="72"/>
    </row>
    <row r="20" spans="2:7" ht="33" customHeight="1" x14ac:dyDescent="0.25">
      <c r="B20" s="30" t="s">
        <v>35</v>
      </c>
      <c r="C20" s="31">
        <f>C2</f>
        <v>46025</v>
      </c>
      <c r="D20" s="32"/>
      <c r="E20" s="32"/>
      <c r="F20" s="32"/>
      <c r="G20" s="33"/>
    </row>
    <row r="21" spans="2:7" ht="33" customHeight="1" x14ac:dyDescent="0.25">
      <c r="B21" s="34" t="s">
        <v>36</v>
      </c>
      <c r="C21" s="35">
        <f>C3</f>
        <v>46053</v>
      </c>
      <c r="D21" s="32"/>
      <c r="E21" s="32"/>
      <c r="F21" s="32"/>
      <c r="G21" s="36"/>
    </row>
    <row r="22" spans="2:7" ht="33" customHeight="1" x14ac:dyDescent="0.25">
      <c r="B22" s="34" t="s">
        <v>37</v>
      </c>
      <c r="C22" s="35">
        <f>C4</f>
        <v>46023</v>
      </c>
      <c r="D22" s="26"/>
      <c r="E22" s="26"/>
      <c r="F22" s="26"/>
      <c r="G22" s="23"/>
    </row>
    <row r="23" spans="2:7" ht="33" customHeight="1" x14ac:dyDescent="0.25">
      <c r="B23" s="34" t="s">
        <v>38</v>
      </c>
      <c r="C23" s="35">
        <f>C5</f>
        <v>46053</v>
      </c>
      <c r="D23" s="26"/>
      <c r="E23" s="26"/>
      <c r="F23" s="26"/>
      <c r="G23" s="23"/>
    </row>
    <row r="24" spans="2:7" ht="33" customHeight="1" x14ac:dyDescent="0.25">
      <c r="B24" s="34" t="s">
        <v>46</v>
      </c>
      <c r="C24" s="37">
        <f>C6</f>
        <v>2800</v>
      </c>
      <c r="D24" s="23"/>
      <c r="E24" s="23"/>
      <c r="F24" s="23"/>
      <c r="G24" s="23"/>
    </row>
    <row r="25" spans="2:7" ht="33.75" customHeight="1" x14ac:dyDescent="0.25">
      <c r="B25" s="38" t="s">
        <v>40</v>
      </c>
      <c r="C25" s="38">
        <f>C21-C20+1</f>
        <v>29</v>
      </c>
      <c r="D25" s="23"/>
      <c r="E25" s="23"/>
      <c r="F25" s="23"/>
      <c r="G25" s="23"/>
    </row>
    <row r="26" spans="2:7" ht="33.75" customHeight="1" x14ac:dyDescent="0.25">
      <c r="B26" s="39" t="s">
        <v>47</v>
      </c>
      <c r="C26" s="39">
        <f ca="1">SUMPRODUCT((WEEKDAY(ROW(INDIRECT(C$20&amp;":"&amp;C$21)))=7)*1)</f>
        <v>5</v>
      </c>
      <c r="D26" s="23"/>
      <c r="E26" s="23"/>
      <c r="F26" s="23"/>
      <c r="G26" s="23"/>
    </row>
    <row r="27" spans="2:7" ht="33.75" customHeight="1" x14ac:dyDescent="0.25">
      <c r="B27" s="38" t="s">
        <v>48</v>
      </c>
      <c r="C27" s="38">
        <f>NETWORKDAYS(C20,C21)</f>
        <v>20</v>
      </c>
      <c r="D27" s="23"/>
      <c r="E27" s="23"/>
      <c r="F27" s="23"/>
      <c r="G27" s="23"/>
    </row>
    <row r="28" spans="2:7" ht="33.75" customHeight="1" x14ac:dyDescent="0.25">
      <c r="B28" s="38" t="s">
        <v>49</v>
      </c>
      <c r="C28" s="38">
        <f ca="1">C25-C26</f>
        <v>24</v>
      </c>
      <c r="D28" s="23"/>
      <c r="E28" s="23"/>
      <c r="F28" s="23"/>
      <c r="G28" s="23"/>
    </row>
    <row r="29" spans="2:7" ht="33.75" customHeight="1" x14ac:dyDescent="0.25">
      <c r="B29" s="40" t="s">
        <v>50</v>
      </c>
      <c r="C29" s="40"/>
      <c r="D29" s="33"/>
      <c r="E29" s="33"/>
      <c r="F29" s="33"/>
      <c r="G29" s="33"/>
    </row>
    <row r="30" spans="2:7" ht="33.75" customHeight="1" x14ac:dyDescent="0.25">
      <c r="B30" s="40" t="s">
        <v>51</v>
      </c>
      <c r="C30" s="40"/>
      <c r="D30" s="33"/>
      <c r="E30" s="33"/>
      <c r="F30" s="33"/>
      <c r="G30" s="33"/>
    </row>
    <row r="31" spans="2:7" ht="33.75" customHeight="1" x14ac:dyDescent="0.25">
      <c r="B31" s="41" t="s">
        <v>52</v>
      </c>
      <c r="C31" s="38" t="e">
        <f>-C30*C24/C29</f>
        <v>#DIV/0!</v>
      </c>
      <c r="D31" s="23"/>
      <c r="E31" s="23"/>
      <c r="F31" s="23"/>
      <c r="G31" s="23"/>
    </row>
    <row r="32" spans="2:7" ht="35.25" customHeight="1" x14ac:dyDescent="0.25">
      <c r="B32" s="39" t="s">
        <v>53</v>
      </c>
      <c r="C32" s="39">
        <f>NETWORKDAYS(C22,C23)</f>
        <v>22</v>
      </c>
      <c r="D32" s="23"/>
      <c r="E32" s="23"/>
      <c r="F32" s="23"/>
      <c r="G32" s="23"/>
    </row>
    <row r="33" spans="2:7" ht="38.25" customHeight="1" x14ac:dyDescent="0.25">
      <c r="B33" s="38" t="s">
        <v>54</v>
      </c>
      <c r="C33" s="38">
        <f>ROUND(C24*C27/C32,2)</f>
        <v>2545.4499999999998</v>
      </c>
      <c r="D33" s="23"/>
      <c r="E33" s="23"/>
      <c r="F33" s="23"/>
      <c r="G33" s="23"/>
    </row>
    <row r="34" spans="2:7" ht="28.5" customHeight="1" x14ac:dyDescent="0.25">
      <c r="B34" s="38" t="s">
        <v>55</v>
      </c>
      <c r="C34" s="38">
        <f>ROUND(C24*C27/22,2)</f>
        <v>2545.4499999999998</v>
      </c>
      <c r="D34" s="23"/>
      <c r="E34" s="23"/>
      <c r="F34" s="23"/>
      <c r="G34" s="23"/>
    </row>
    <row r="35" spans="2:7" ht="41.25" customHeight="1" x14ac:dyDescent="0.25">
      <c r="B35" s="38" t="s">
        <v>56</v>
      </c>
      <c r="C35" s="38">
        <f>ROUND(C24*C27/21.67,2)</f>
        <v>2584.2199999999998</v>
      </c>
      <c r="D35" s="23"/>
      <c r="E35" s="23"/>
      <c r="F35" s="23"/>
      <c r="G35" s="23"/>
    </row>
    <row r="36" spans="2:7" ht="36" customHeight="1" x14ac:dyDescent="0.25">
      <c r="B36" s="39" t="s">
        <v>57</v>
      </c>
      <c r="C36" s="39">
        <f>C23-C22+1</f>
        <v>31</v>
      </c>
      <c r="D36" s="23"/>
      <c r="E36" s="23"/>
      <c r="F36" s="23"/>
      <c r="G36" s="23"/>
    </row>
    <row r="37" spans="2:7" ht="39" customHeight="1" x14ac:dyDescent="0.25">
      <c r="B37" s="38" t="s">
        <v>58</v>
      </c>
      <c r="C37" s="38">
        <f>ROUND(C24*C25/C36,2)</f>
        <v>2619.35</v>
      </c>
      <c r="D37" s="23"/>
      <c r="E37" s="23"/>
      <c r="F37" s="23"/>
      <c r="G37" s="23"/>
    </row>
    <row r="38" spans="2:7" ht="35.25" customHeight="1" x14ac:dyDescent="0.25">
      <c r="B38" s="38" t="s">
        <v>59</v>
      </c>
      <c r="C38" s="38">
        <f>ROUND(C24*C25/30,2)</f>
        <v>2706.67</v>
      </c>
      <c r="D38" s="23"/>
      <c r="E38" s="23"/>
      <c r="F38" s="23"/>
      <c r="G38" s="23"/>
    </row>
    <row r="39" spans="2:7" ht="36" customHeight="1" x14ac:dyDescent="0.25">
      <c r="B39" s="39" t="s">
        <v>60</v>
      </c>
      <c r="C39" s="39">
        <f ca="1">SUMPRODUCT((WEEKDAY(ROW(INDIRECT($C22&amp;":"&amp;$C23)))=7)*1)</f>
        <v>5</v>
      </c>
      <c r="D39" s="23"/>
      <c r="E39" s="23"/>
      <c r="F39" s="23"/>
      <c r="G39" s="23"/>
    </row>
    <row r="40" spans="2:7" ht="36" customHeight="1" x14ac:dyDescent="0.25">
      <c r="B40" s="39" t="s">
        <v>61</v>
      </c>
      <c r="C40" s="39">
        <f ca="1">C36-C39</f>
        <v>26</v>
      </c>
      <c r="D40" s="23"/>
      <c r="E40" s="23"/>
      <c r="F40" s="23"/>
      <c r="G40" s="23"/>
    </row>
    <row r="41" spans="2:7" ht="39.75" customHeight="1" x14ac:dyDescent="0.25">
      <c r="B41" s="38" t="s">
        <v>62</v>
      </c>
      <c r="C41" s="38">
        <f ca="1">ROUND(C24*C28/C40,2)</f>
        <v>2584.62</v>
      </c>
      <c r="D41" s="23"/>
      <c r="E41" s="23"/>
      <c r="F41" s="23"/>
      <c r="G41" s="23"/>
    </row>
    <row r="42" spans="2:7" ht="39.75" customHeight="1" x14ac:dyDescent="0.25">
      <c r="B42" s="38" t="s">
        <v>63</v>
      </c>
      <c r="C42" s="38">
        <f ca="1">ROUND(C24*C28/26,2)</f>
        <v>2584.62</v>
      </c>
      <c r="D42" s="23"/>
      <c r="E42" s="23"/>
      <c r="F42" s="23"/>
      <c r="G42" s="23"/>
    </row>
  </sheetData>
  <mergeCells count="5">
    <mergeCell ref="B1:C1"/>
    <mergeCell ref="D2:G2"/>
    <mergeCell ref="D8:G8"/>
    <mergeCell ref="D9:F9"/>
    <mergeCell ref="B19:G19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720F5-9335-431E-BDC5-23887D3E3271}">
  <dimension ref="A1:K34"/>
  <sheetViews>
    <sheetView topLeftCell="A20" workbookViewId="0">
      <selection activeCell="A20" sqref="A1:XFD1048576"/>
    </sheetView>
  </sheetViews>
  <sheetFormatPr baseColWidth="10" defaultColWidth="11.42578125" defaultRowHeight="15" x14ac:dyDescent="0.25"/>
  <cols>
    <col min="1" max="1" width="14.28515625" style="1" customWidth="1"/>
    <col min="2" max="2" width="54.28515625" style="1" customWidth="1"/>
    <col min="3" max="3" width="21.85546875" style="22" customWidth="1"/>
    <col min="4" max="4" width="16.28515625" style="1" customWidth="1"/>
    <col min="5" max="5" width="18.28515625" style="1" customWidth="1"/>
    <col min="6" max="6" width="15.5703125" style="1" customWidth="1"/>
    <col min="7" max="7" width="11.42578125" style="1"/>
    <col min="8" max="8" width="15.7109375" style="1" customWidth="1"/>
    <col min="9" max="10" width="23.28515625" style="1" customWidth="1"/>
    <col min="11" max="16384" width="11.42578125" style="1"/>
  </cols>
  <sheetData>
    <row r="1" spans="1:11" x14ac:dyDescent="0.25">
      <c r="A1" s="45" t="s">
        <v>0</v>
      </c>
      <c r="B1" s="45"/>
      <c r="C1" s="45"/>
    </row>
    <row r="2" spans="1:11" ht="39.75" customHeight="1" x14ac:dyDescent="0.25">
      <c r="A2" s="44" t="s">
        <v>1</v>
      </c>
      <c r="B2" s="3" t="s">
        <v>2</v>
      </c>
      <c r="C2" s="4">
        <v>3925</v>
      </c>
      <c r="E2" s="5"/>
      <c r="F2" s="5"/>
      <c r="G2" s="5"/>
      <c r="J2" s="5"/>
      <c r="K2" s="5"/>
    </row>
    <row r="3" spans="1:11" ht="30" customHeight="1" x14ac:dyDescent="0.25">
      <c r="B3" s="3" t="s">
        <v>65</v>
      </c>
      <c r="C3" s="6">
        <v>29</v>
      </c>
      <c r="D3" s="51" t="s">
        <v>69</v>
      </c>
      <c r="E3" s="51"/>
      <c r="F3" s="51"/>
      <c r="G3" s="5"/>
      <c r="J3" s="5"/>
      <c r="K3" s="5"/>
    </row>
    <row r="4" spans="1:11" x14ac:dyDescent="0.25">
      <c r="A4" s="46" t="s">
        <v>3</v>
      </c>
      <c r="B4" s="48" t="s">
        <v>4</v>
      </c>
      <c r="C4" s="49">
        <v>2400</v>
      </c>
    </row>
    <row r="5" spans="1:11" ht="43.5" customHeight="1" x14ac:dyDescent="0.25">
      <c r="A5" s="47"/>
      <c r="B5" s="48"/>
      <c r="C5" s="50"/>
    </row>
    <row r="6" spans="1:11" x14ac:dyDescent="0.25">
      <c r="A6" s="51" t="s">
        <v>5</v>
      </c>
      <c r="B6" s="52" t="s">
        <v>6</v>
      </c>
      <c r="C6" s="54">
        <v>1</v>
      </c>
    </row>
    <row r="7" spans="1:11" ht="90.75" customHeight="1" x14ac:dyDescent="0.25">
      <c r="A7" s="51"/>
      <c r="B7" s="53"/>
      <c r="C7" s="54"/>
    </row>
    <row r="8" spans="1:11" ht="29.25" customHeight="1" x14ac:dyDescent="0.25">
      <c r="A8" s="7" t="s">
        <v>7</v>
      </c>
      <c r="B8" s="8" t="s">
        <v>8</v>
      </c>
      <c r="C8" s="4">
        <v>1800</v>
      </c>
    </row>
    <row r="9" spans="1:11" x14ac:dyDescent="0.25">
      <c r="A9" s="59" t="s">
        <v>9</v>
      </c>
      <c r="B9" s="46" t="s">
        <v>10</v>
      </c>
      <c r="C9" s="64">
        <f>IF(C6=0,0,IF(C6=1,C8/12,IF(C6=2,C8/6,IF(C6=3,C8/3,IF(C6=4,C8/2)))))</f>
        <v>150</v>
      </c>
    </row>
    <row r="10" spans="1:11" x14ac:dyDescent="0.25">
      <c r="A10" s="60"/>
      <c r="B10" s="47"/>
      <c r="C10" s="64"/>
    </row>
    <row r="11" spans="1:11" x14ac:dyDescent="0.25">
      <c r="A11" s="59" t="s">
        <v>11</v>
      </c>
      <c r="B11" s="46" t="s">
        <v>12</v>
      </c>
      <c r="C11" s="63">
        <f>C4+C9</f>
        <v>2550</v>
      </c>
    </row>
    <row r="12" spans="1:11" x14ac:dyDescent="0.25">
      <c r="A12" s="60"/>
      <c r="B12" s="47"/>
      <c r="C12" s="63"/>
    </row>
    <row r="13" spans="1:11" x14ac:dyDescent="0.25">
      <c r="A13" s="59" t="s">
        <v>9</v>
      </c>
      <c r="B13" s="61" t="s">
        <v>13</v>
      </c>
      <c r="C13" s="63">
        <f>C11/30.42</f>
        <v>83.826429980276131</v>
      </c>
      <c r="D13" s="48" t="s">
        <v>14</v>
      </c>
    </row>
    <row r="14" spans="1:11" x14ac:dyDescent="0.25">
      <c r="A14" s="60"/>
      <c r="B14" s="62"/>
      <c r="C14" s="63"/>
      <c r="D14" s="48"/>
    </row>
    <row r="15" spans="1:11" ht="25.5" customHeight="1" x14ac:dyDescent="0.25">
      <c r="B15" s="9" t="s">
        <v>15</v>
      </c>
      <c r="C15" s="10"/>
      <c r="F15" s="58"/>
      <c r="G15" s="58"/>
      <c r="H15" s="55"/>
    </row>
    <row r="16" spans="1:11" ht="25.5" customHeight="1" x14ac:dyDescent="0.25">
      <c r="B16" s="7" t="s">
        <v>16</v>
      </c>
      <c r="C16" s="12">
        <f>ROUND(60%*C13,2)</f>
        <v>50.3</v>
      </c>
      <c r="F16" s="58"/>
      <c r="G16" s="58"/>
      <c r="H16" s="55"/>
    </row>
    <row r="17" spans="2:8" ht="25.5" customHeight="1" x14ac:dyDescent="0.25">
      <c r="B17" s="7" t="s">
        <v>17</v>
      </c>
      <c r="C17" s="12">
        <f>ROUND(C13*0.79,2)</f>
        <v>66.22</v>
      </c>
      <c r="F17" s="58"/>
      <c r="G17" s="58"/>
      <c r="H17" s="55"/>
    </row>
    <row r="18" spans="2:8" ht="25.5" customHeight="1" x14ac:dyDescent="0.25">
      <c r="B18" s="7" t="s">
        <v>18</v>
      </c>
      <c r="C18" s="12">
        <f>MIN(C16,C17)</f>
        <v>50.3</v>
      </c>
      <c r="F18" s="58"/>
      <c r="G18" s="58"/>
      <c r="H18" s="55"/>
    </row>
    <row r="19" spans="2:8" ht="25.5" customHeight="1" x14ac:dyDescent="0.25">
      <c r="B19" s="7" t="s">
        <v>19</v>
      </c>
      <c r="C19" s="12">
        <f>0.834%*C2*12*60 %</f>
        <v>235.68840000000003</v>
      </c>
      <c r="F19" s="5"/>
      <c r="G19" s="5"/>
      <c r="H19" s="11"/>
    </row>
    <row r="20" spans="2:8" ht="25.5" customHeight="1" x14ac:dyDescent="0.25">
      <c r="B20" s="7" t="s">
        <v>20</v>
      </c>
      <c r="C20" s="13">
        <f>MIN(C18,C19)</f>
        <v>50.3</v>
      </c>
      <c r="F20" s="5"/>
      <c r="G20" s="5"/>
      <c r="H20" s="11"/>
    </row>
    <row r="21" spans="2:8" ht="25.5" customHeight="1" x14ac:dyDescent="0.25">
      <c r="B21" s="42" t="s">
        <v>21</v>
      </c>
      <c r="C21" s="12"/>
      <c r="F21" s="5"/>
      <c r="G21" s="5"/>
      <c r="H21" s="11"/>
    </row>
    <row r="22" spans="2:8" ht="25.5" customHeight="1" x14ac:dyDescent="0.25">
      <c r="B22" s="7" t="s">
        <v>17</v>
      </c>
      <c r="C22" s="12">
        <f>C17</f>
        <v>66.22</v>
      </c>
      <c r="F22" s="5"/>
      <c r="G22" s="5"/>
      <c r="H22" s="11"/>
    </row>
    <row r="23" spans="2:8" ht="25.5" customHeight="1" x14ac:dyDescent="0.25">
      <c r="B23" s="7" t="s">
        <v>22</v>
      </c>
      <c r="C23" s="12">
        <f>ROUND(80%*C13,2)</f>
        <v>67.06</v>
      </c>
      <c r="F23" s="5"/>
      <c r="G23" s="5"/>
      <c r="H23" s="11"/>
    </row>
    <row r="24" spans="2:8" ht="25.5" customHeight="1" x14ac:dyDescent="0.25">
      <c r="B24" s="7" t="s">
        <v>23</v>
      </c>
      <c r="C24" s="12">
        <f>MIN(C22,C23)</f>
        <v>66.22</v>
      </c>
      <c r="F24" s="5"/>
      <c r="G24" s="5"/>
      <c r="H24" s="11"/>
    </row>
    <row r="25" spans="2:8" ht="25.5" customHeight="1" x14ac:dyDescent="0.25">
      <c r="B25" s="7" t="s">
        <v>24</v>
      </c>
      <c r="C25" s="12">
        <f>ROUND(0.834%*C2*12*80 %,2)</f>
        <v>314.25</v>
      </c>
      <c r="F25" s="5"/>
      <c r="G25" s="5"/>
      <c r="H25" s="11"/>
    </row>
    <row r="26" spans="2:8" ht="25.5" customHeight="1" x14ac:dyDescent="0.25">
      <c r="B26" s="7" t="s">
        <v>25</v>
      </c>
      <c r="C26" s="13">
        <f>MIN(C24,C25)</f>
        <v>66.22</v>
      </c>
      <c r="F26" s="5"/>
      <c r="G26" s="5"/>
      <c r="H26" s="11"/>
    </row>
    <row r="27" spans="2:8" ht="25.5" customHeight="1" x14ac:dyDescent="0.25">
      <c r="B27" s="14" t="s">
        <v>26</v>
      </c>
      <c r="C27" s="15">
        <f>IF(C3&lt;=28,C3*C20,28*C20+(C3-28)*C26)</f>
        <v>1474.62</v>
      </c>
      <c r="D27" s="1" t="s">
        <v>71</v>
      </c>
      <c r="F27" s="43"/>
      <c r="G27" s="5"/>
      <c r="H27" s="11"/>
    </row>
    <row r="28" spans="2:8" ht="28.5" customHeight="1" x14ac:dyDescent="0.25">
      <c r="B28" s="16" t="s">
        <v>27</v>
      </c>
      <c r="C28" s="17">
        <f>C27*3.8%</f>
        <v>56.035559999999997</v>
      </c>
    </row>
    <row r="29" spans="2:8" ht="28.5" customHeight="1" x14ac:dyDescent="0.25">
      <c r="B29" s="16" t="s">
        <v>28</v>
      </c>
      <c r="C29" s="17">
        <f>C27*2.9%</f>
        <v>42.763979999999997</v>
      </c>
    </row>
    <row r="30" spans="2:8" ht="28.5" customHeight="1" x14ac:dyDescent="0.25">
      <c r="B30" s="18" t="s">
        <v>29</v>
      </c>
      <c r="C30" s="19">
        <f>C27-C28-C29</f>
        <v>1375.8204599999999</v>
      </c>
    </row>
    <row r="31" spans="2:8" ht="28.5" customHeight="1" x14ac:dyDescent="0.25">
      <c r="B31" s="16" t="s">
        <v>30</v>
      </c>
      <c r="C31" s="17">
        <f>50% * C27</f>
        <v>737.31</v>
      </c>
    </row>
    <row r="32" spans="2:8" ht="28.5" customHeight="1" x14ac:dyDescent="0.25">
      <c r="B32" s="16" t="s">
        <v>31</v>
      </c>
      <c r="C32" s="17">
        <f>C31*3.8%</f>
        <v>28.017779999999998</v>
      </c>
    </row>
    <row r="33" spans="2:3" ht="28.5" x14ac:dyDescent="0.25">
      <c r="B33" s="20" t="s">
        <v>32</v>
      </c>
      <c r="C33" s="19">
        <f>+C31-C32</f>
        <v>709.29221999999993</v>
      </c>
    </row>
    <row r="34" spans="2:3" ht="29.25" customHeight="1" x14ac:dyDescent="0.25">
      <c r="B34" s="3" t="s">
        <v>33</v>
      </c>
      <c r="C34" s="21">
        <f>C3</f>
        <v>29</v>
      </c>
    </row>
  </sheetData>
  <mergeCells count="21">
    <mergeCell ref="H15:H18"/>
    <mergeCell ref="D3:F3"/>
    <mergeCell ref="A13:A14"/>
    <mergeCell ref="B13:B14"/>
    <mergeCell ref="C13:C14"/>
    <mergeCell ref="D13:D14"/>
    <mergeCell ref="F15:F18"/>
    <mergeCell ref="G15:G18"/>
    <mergeCell ref="A9:A10"/>
    <mergeCell ref="B9:B10"/>
    <mergeCell ref="C9:C10"/>
    <mergeCell ref="A11:A12"/>
    <mergeCell ref="B11:B12"/>
    <mergeCell ref="C11:C12"/>
    <mergeCell ref="A1:C1"/>
    <mergeCell ref="A4:A5"/>
    <mergeCell ref="B4:B5"/>
    <mergeCell ref="C4:C5"/>
    <mergeCell ref="A6:A7"/>
    <mergeCell ref="B6:B7"/>
    <mergeCell ref="C6:C7"/>
  </mergeCells>
  <conditionalFormatting sqref="A2:G2 C4:G4 A3:D3 G3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{65863042-A5C6-4300-8401-5F3B6484AAFC}</x14:id>
        </ext>
      </extLst>
    </cfRule>
  </conditionalFormatting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5863042-A5C6-4300-8401-5F3B6484AAF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A2:G2 C4:G4 A3:D3 G3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C2B0-75E4-4D65-B109-51520496EFF2}">
  <dimension ref="A1:K35"/>
  <sheetViews>
    <sheetView topLeftCell="A21" workbookViewId="0">
      <selection activeCell="D28" sqref="D28"/>
    </sheetView>
  </sheetViews>
  <sheetFormatPr baseColWidth="10" defaultColWidth="11.42578125" defaultRowHeight="15" x14ac:dyDescent="0.25"/>
  <cols>
    <col min="1" max="1" width="14.28515625" style="1" customWidth="1"/>
    <col min="2" max="2" width="54.28515625" style="1" customWidth="1"/>
    <col min="3" max="3" width="21.85546875" style="22" customWidth="1"/>
    <col min="4" max="4" width="16.28515625" style="1" customWidth="1"/>
    <col min="5" max="5" width="18.28515625" style="1" customWidth="1"/>
    <col min="6" max="6" width="15.5703125" style="1" customWidth="1"/>
    <col min="7" max="7" width="11.42578125" style="1"/>
    <col min="8" max="8" width="15.7109375" style="1" customWidth="1"/>
    <col min="9" max="10" width="23.28515625" style="1" customWidth="1"/>
    <col min="11" max="16384" width="11.42578125" style="1"/>
  </cols>
  <sheetData>
    <row r="1" spans="1:11" x14ac:dyDescent="0.25">
      <c r="B1" s="1" t="s">
        <v>72</v>
      </c>
    </row>
    <row r="2" spans="1:11" x14ac:dyDescent="0.25">
      <c r="A2" s="45" t="s">
        <v>0</v>
      </c>
      <c r="B2" s="45"/>
      <c r="C2" s="45"/>
    </row>
    <row r="3" spans="1:11" ht="39.75" customHeight="1" x14ac:dyDescent="0.25">
      <c r="A3" s="44" t="s">
        <v>1</v>
      </c>
      <c r="B3" s="3" t="s">
        <v>2</v>
      </c>
      <c r="C3" s="4">
        <v>3925</v>
      </c>
      <c r="E3" s="5"/>
      <c r="F3" s="5"/>
      <c r="G3" s="5"/>
      <c r="J3" s="5"/>
      <c r="K3" s="5"/>
    </row>
    <row r="4" spans="1:11" ht="30" customHeight="1" x14ac:dyDescent="0.25">
      <c r="B4" s="3" t="s">
        <v>65</v>
      </c>
      <c r="C4" s="6">
        <v>29</v>
      </c>
      <c r="D4" s="51" t="s">
        <v>69</v>
      </c>
      <c r="E4" s="51"/>
      <c r="F4" s="51"/>
      <c r="G4" s="5"/>
      <c r="J4" s="5"/>
      <c r="K4" s="5"/>
    </row>
    <row r="5" spans="1:11" x14ac:dyDescent="0.25">
      <c r="A5" s="46" t="s">
        <v>3</v>
      </c>
      <c r="B5" s="48" t="s">
        <v>4</v>
      </c>
      <c r="C5" s="49">
        <v>12000</v>
      </c>
    </row>
    <row r="6" spans="1:11" ht="43.5" customHeight="1" x14ac:dyDescent="0.25">
      <c r="A6" s="47"/>
      <c r="B6" s="48"/>
      <c r="C6" s="50"/>
    </row>
    <row r="7" spans="1:11" x14ac:dyDescent="0.25">
      <c r="A7" s="51" t="s">
        <v>5</v>
      </c>
      <c r="B7" s="52" t="s">
        <v>6</v>
      </c>
      <c r="C7" s="54">
        <v>1</v>
      </c>
    </row>
    <row r="8" spans="1:11" ht="90.75" customHeight="1" x14ac:dyDescent="0.25">
      <c r="A8" s="51"/>
      <c r="B8" s="53"/>
      <c r="C8" s="54"/>
    </row>
    <row r="9" spans="1:11" ht="29.25" customHeight="1" x14ac:dyDescent="0.25">
      <c r="A9" s="7" t="s">
        <v>7</v>
      </c>
      <c r="B9" s="8" t="s">
        <v>8</v>
      </c>
      <c r="C9" s="4">
        <v>1800</v>
      </c>
    </row>
    <row r="10" spans="1:11" x14ac:dyDescent="0.25">
      <c r="A10" s="59" t="s">
        <v>9</v>
      </c>
      <c r="B10" s="46" t="s">
        <v>10</v>
      </c>
      <c r="C10" s="64">
        <f>IF(C7=0,0,IF(C7=1,C9/12,IF(C7=2,C9/6,IF(C7=3,C9/3,IF(C7=4,C9/2)))))</f>
        <v>150</v>
      </c>
    </row>
    <row r="11" spans="1:11" x14ac:dyDescent="0.25">
      <c r="A11" s="60"/>
      <c r="B11" s="47"/>
      <c r="C11" s="64"/>
    </row>
    <row r="12" spans="1:11" x14ac:dyDescent="0.25">
      <c r="A12" s="59" t="s">
        <v>11</v>
      </c>
      <c r="B12" s="46" t="s">
        <v>12</v>
      </c>
      <c r="C12" s="63">
        <f>C5+C10</f>
        <v>12150</v>
      </c>
    </row>
    <row r="13" spans="1:11" x14ac:dyDescent="0.25">
      <c r="A13" s="60"/>
      <c r="B13" s="47"/>
      <c r="C13" s="63"/>
    </row>
    <row r="14" spans="1:11" x14ac:dyDescent="0.25">
      <c r="A14" s="59" t="s">
        <v>9</v>
      </c>
      <c r="B14" s="61" t="s">
        <v>13</v>
      </c>
      <c r="C14" s="63">
        <f>C12/30.42</f>
        <v>399.40828402366861</v>
      </c>
      <c r="D14" s="48" t="s">
        <v>14</v>
      </c>
    </row>
    <row r="15" spans="1:11" x14ac:dyDescent="0.25">
      <c r="A15" s="60"/>
      <c r="B15" s="62"/>
      <c r="C15" s="63"/>
      <c r="D15" s="48"/>
    </row>
    <row r="16" spans="1:11" ht="25.5" customHeight="1" x14ac:dyDescent="0.25">
      <c r="B16" s="9" t="s">
        <v>15</v>
      </c>
      <c r="C16" s="10"/>
      <c r="F16" s="58"/>
      <c r="G16" s="58"/>
      <c r="H16" s="55"/>
    </row>
    <row r="17" spans="2:8" ht="25.5" customHeight="1" x14ac:dyDescent="0.25">
      <c r="B17" s="7" t="s">
        <v>16</v>
      </c>
      <c r="C17" s="12">
        <f>ROUND(60%*C14,2)</f>
        <v>239.64</v>
      </c>
      <c r="F17" s="58"/>
      <c r="G17" s="58"/>
      <c r="H17" s="55"/>
    </row>
    <row r="18" spans="2:8" ht="25.5" customHeight="1" x14ac:dyDescent="0.25">
      <c r="B18" s="7" t="s">
        <v>17</v>
      </c>
      <c r="C18" s="12">
        <f>ROUND(C14*0.79,2)</f>
        <v>315.52999999999997</v>
      </c>
      <c r="F18" s="58"/>
      <c r="G18" s="58"/>
      <c r="H18" s="55"/>
    </row>
    <row r="19" spans="2:8" ht="25.5" customHeight="1" x14ac:dyDescent="0.25">
      <c r="B19" s="7" t="s">
        <v>18</v>
      </c>
      <c r="C19" s="12">
        <f>MIN(C17,C18)</f>
        <v>239.64</v>
      </c>
      <c r="F19" s="58"/>
      <c r="G19" s="58"/>
      <c r="H19" s="55"/>
    </row>
    <row r="20" spans="2:8" ht="25.5" customHeight="1" x14ac:dyDescent="0.25">
      <c r="B20" s="7" t="s">
        <v>19</v>
      </c>
      <c r="C20" s="12">
        <f>0.834%*C3*12*60 %</f>
        <v>235.68840000000003</v>
      </c>
      <c r="F20" s="5"/>
      <c r="G20" s="5"/>
      <c r="H20" s="11"/>
    </row>
    <row r="21" spans="2:8" ht="25.5" customHeight="1" x14ac:dyDescent="0.25">
      <c r="B21" s="7" t="s">
        <v>20</v>
      </c>
      <c r="C21" s="13">
        <f>MIN(C19,C20)</f>
        <v>235.68840000000003</v>
      </c>
      <c r="F21" s="5"/>
      <c r="G21" s="5"/>
      <c r="H21" s="11"/>
    </row>
    <row r="22" spans="2:8" ht="25.5" customHeight="1" x14ac:dyDescent="0.25">
      <c r="B22" s="42" t="s">
        <v>21</v>
      </c>
      <c r="C22" s="12"/>
      <c r="F22" s="5"/>
      <c r="G22" s="5"/>
      <c r="H22" s="11"/>
    </row>
    <row r="23" spans="2:8" ht="25.5" customHeight="1" x14ac:dyDescent="0.25">
      <c r="B23" s="7" t="s">
        <v>17</v>
      </c>
      <c r="C23" s="12">
        <f>C18</f>
        <v>315.52999999999997</v>
      </c>
      <c r="F23" s="5"/>
      <c r="G23" s="5"/>
      <c r="H23" s="11"/>
    </row>
    <row r="24" spans="2:8" ht="25.5" customHeight="1" x14ac:dyDescent="0.25">
      <c r="B24" s="7" t="s">
        <v>22</v>
      </c>
      <c r="C24" s="12">
        <f>ROUND(80%*C14,2)</f>
        <v>319.52999999999997</v>
      </c>
      <c r="F24" s="5"/>
      <c r="G24" s="5"/>
      <c r="H24" s="11"/>
    </row>
    <row r="25" spans="2:8" ht="25.5" customHeight="1" x14ac:dyDescent="0.25">
      <c r="B25" s="7" t="s">
        <v>23</v>
      </c>
      <c r="C25" s="12">
        <f>MIN(C23,C24)</f>
        <v>315.52999999999997</v>
      </c>
      <c r="F25" s="5"/>
      <c r="G25" s="5"/>
      <c r="H25" s="11"/>
    </row>
    <row r="26" spans="2:8" ht="25.5" customHeight="1" x14ac:dyDescent="0.25">
      <c r="B26" s="7" t="s">
        <v>24</v>
      </c>
      <c r="C26" s="12">
        <f>ROUND(0.834%*C3*12*80 %,2)</f>
        <v>314.25</v>
      </c>
      <c r="F26" s="5"/>
      <c r="G26" s="5"/>
      <c r="H26" s="11"/>
    </row>
    <row r="27" spans="2:8" ht="25.5" customHeight="1" x14ac:dyDescent="0.25">
      <c r="B27" s="7" t="s">
        <v>25</v>
      </c>
      <c r="C27" s="13">
        <f>MIN(C25,C26)</f>
        <v>314.25</v>
      </c>
      <c r="F27" s="5"/>
      <c r="G27" s="5"/>
      <c r="H27" s="11"/>
    </row>
    <row r="28" spans="2:8" ht="25.5" customHeight="1" x14ac:dyDescent="0.25">
      <c r="B28" s="14" t="s">
        <v>26</v>
      </c>
      <c r="C28" s="15">
        <f>IF(C4&lt;=28,C4*C21,28*C21+(C4-28)*C27)</f>
        <v>6913.525200000001</v>
      </c>
      <c r="D28" s="1" t="s">
        <v>73</v>
      </c>
      <c r="F28" s="43"/>
      <c r="G28" s="5"/>
      <c r="H28" s="11"/>
    </row>
    <row r="29" spans="2:8" ht="28.5" customHeight="1" x14ac:dyDescent="0.25">
      <c r="B29" s="16" t="s">
        <v>27</v>
      </c>
      <c r="C29" s="17">
        <f>C28*3.8%</f>
        <v>262.71395760000001</v>
      </c>
    </row>
    <row r="30" spans="2:8" ht="28.5" customHeight="1" x14ac:dyDescent="0.25">
      <c r="B30" s="16" t="s">
        <v>28</v>
      </c>
      <c r="C30" s="17">
        <f>C28*2.9%</f>
        <v>200.49223080000002</v>
      </c>
    </row>
    <row r="31" spans="2:8" ht="28.5" customHeight="1" x14ac:dyDescent="0.25">
      <c r="B31" s="18" t="s">
        <v>29</v>
      </c>
      <c r="C31" s="19">
        <f>C28-C29-C30</f>
        <v>6450.3190116000005</v>
      </c>
    </row>
    <row r="32" spans="2:8" ht="28.5" customHeight="1" x14ac:dyDescent="0.25">
      <c r="B32" s="16" t="s">
        <v>30</v>
      </c>
      <c r="C32" s="17">
        <f>50% * C28</f>
        <v>3456.7626000000005</v>
      </c>
    </row>
    <row r="33" spans="2:3" ht="28.5" customHeight="1" x14ac:dyDescent="0.25">
      <c r="B33" s="16" t="s">
        <v>31</v>
      </c>
      <c r="C33" s="17">
        <f>C32*3.8%</f>
        <v>131.35697880000001</v>
      </c>
    </row>
    <row r="34" spans="2:3" ht="28.5" x14ac:dyDescent="0.25">
      <c r="B34" s="20" t="s">
        <v>32</v>
      </c>
      <c r="C34" s="19">
        <f>+C32-C33</f>
        <v>3325.4056212000005</v>
      </c>
    </row>
    <row r="35" spans="2:3" ht="29.25" customHeight="1" x14ac:dyDescent="0.25">
      <c r="B35" s="3" t="s">
        <v>33</v>
      </c>
      <c r="C35" s="21">
        <f>C4</f>
        <v>29</v>
      </c>
    </row>
  </sheetData>
  <mergeCells count="21">
    <mergeCell ref="H16:H19"/>
    <mergeCell ref="A14:A15"/>
    <mergeCell ref="B14:B15"/>
    <mergeCell ref="C14:C15"/>
    <mergeCell ref="D14:D15"/>
    <mergeCell ref="F16:F19"/>
    <mergeCell ref="G16:G19"/>
    <mergeCell ref="A10:A11"/>
    <mergeCell ref="B10:B11"/>
    <mergeCell ref="C10:C11"/>
    <mergeCell ref="A12:A13"/>
    <mergeCell ref="B12:B13"/>
    <mergeCell ref="C12:C13"/>
    <mergeCell ref="A7:A8"/>
    <mergeCell ref="B7:B8"/>
    <mergeCell ref="C7:C8"/>
    <mergeCell ref="A2:C2"/>
    <mergeCell ref="D4:F4"/>
    <mergeCell ref="A5:A6"/>
    <mergeCell ref="B5:B6"/>
    <mergeCell ref="C5:C6"/>
  </mergeCells>
  <conditionalFormatting sqref="A3:G3 C5:G5 A4:D4 G4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{8179FA3C-8A7B-4F56-B8FD-C85632B61733}</x14:id>
        </ext>
      </extLst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179FA3C-8A7B-4F56-B8FD-C85632B6173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A3:G3 C5:G5 A4:D4 G4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Maquette Vierge </vt:lpstr>
      <vt:lpstr>Matrice Calcul Jours d'Absence </vt:lpstr>
      <vt:lpstr>Enoncé 1</vt:lpstr>
      <vt:lpstr>Enoncé 1 Calcul Jours d'Abs </vt:lpstr>
      <vt:lpstr>Maquette AT 1 </vt:lpstr>
      <vt:lpstr>Enoncé 2 </vt:lpstr>
      <vt:lpstr>Enoncé 2 Calcul Jours d'Abs</vt:lpstr>
      <vt:lpstr>Maquette AT 2 </vt:lpstr>
      <vt:lpstr>Maquette AT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2025-12-31T14:43:28Z</cp:lastPrinted>
  <dcterms:created xsi:type="dcterms:W3CDTF">2025-12-31T13:29:20Z</dcterms:created>
  <dcterms:modified xsi:type="dcterms:W3CDTF">2026-01-04T18:52:05Z</dcterms:modified>
</cp:coreProperties>
</file>